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5640" yWindow="2700" windowWidth="32860" windowHeight="16060" tabRatio="500"/>
  </bookViews>
  <sheets>
    <sheet name="SORTIES 2016" sheetId="20" r:id="rId1"/>
    <sheet name="MATERIEL" sheetId="16" r:id="rId2"/>
    <sheet name="SORTIES 2015" sheetId="15" r:id="rId3"/>
    <sheet name="PREP MARATHON" sheetId="1" r:id="rId4"/>
    <sheet name="PREPA 1 MARATHON" sheetId="21" r:id="rId5"/>
    <sheet name="PERFS" sheetId="22" r:id="rId6"/>
    <sheet name="MES ALLURES" sheetId="23" r:id="rId7"/>
    <sheet name="PARAMETRES DE MESURE" sheetId="17" r:id="rId8"/>
    <sheet name="DEFINITIONS" sheetId="4" r:id="rId9"/>
    <sheet name="trail" sheetId="12" r:id="rId10"/>
    <sheet name="EQ TRAIL ROUTE" sheetId="13" r:id="rId11"/>
    <sheet name="DONNEES" sheetId="8" r:id="rId12"/>
    <sheet name="NATATION" sheetId="18" r:id="rId13"/>
    <sheet name="ALLURE" sheetId="9" r:id="rId14"/>
    <sheet name="allures" sheetId="6" r:id="rId15"/>
    <sheet name="seuil" sheetId="11" r:id="rId16"/>
    <sheet name="ENTRAINEMENTS" sheetId="10" r:id="rId17"/>
    <sheet name="PREP MARA" sheetId="3" r:id="rId18"/>
    <sheet name="PLANIFICATION" sheetId="2" r:id="rId19"/>
    <sheet name="AGENDA" sheetId="5" r:id="rId20"/>
  </sheets>
  <externalReferences>
    <externalReference r:id="rId21"/>
  </externalReferences>
  <definedNames>
    <definedName name="L_CHAUSSURES">MATERIEL!$B$7:$B$17</definedName>
    <definedName name="L_CYCLES">MATERIEL!$B$22:$B$23</definedName>
    <definedName name="L_EPREUVES" localSheetId="13">ALLURE!$E$9:$E$26</definedName>
    <definedName name="L_EPREUVES" localSheetId="11">DONNEES!$E$9:$E$15</definedName>
    <definedName name="L_EPREUVES" localSheetId="16">ENTRAINEMENTS!$G$4:$G$5</definedName>
    <definedName name="L_EPREUVES" localSheetId="10">'EQ TRAIL ROUTE'!$E$20:$E$26</definedName>
    <definedName name="L_EPREUVES" localSheetId="1">MATERIEL!#REF!</definedName>
    <definedName name="L_EPREUVES" localSheetId="6">'MES ALLURES'!$D$31:$D$45</definedName>
    <definedName name="L_EPREUVES" localSheetId="12">NATATION!$E$9:$E$13</definedName>
    <definedName name="L_EPREUVES" localSheetId="2">'SORTIES 2015'!$I$4:$I$5</definedName>
    <definedName name="L_EPREUVES" localSheetId="0">'SORTIES 2016'!$I$4:$I$5</definedName>
    <definedName name="L_EPREUVES">DEFINITIONS!$E$7:$E$13</definedName>
    <definedName name="L_VOTE" localSheetId="13">ALLURE!$H$25:$H$26</definedName>
    <definedName name="L_VOTE" localSheetId="11">DONNEES!$H$14:$H$15</definedName>
    <definedName name="L_VOTE" localSheetId="16">ENTRAINEMENTS!$K$4:$K$5</definedName>
    <definedName name="L_VOTE" localSheetId="10">'EQ TRAIL ROUTE'!$H$25:$H$26</definedName>
    <definedName name="L_VOTE" localSheetId="1">MATERIEL!#REF!</definedName>
    <definedName name="L_VOTE" localSheetId="6">'MES ALLURES'!#REF!</definedName>
    <definedName name="L_VOTE" localSheetId="12">NATATION!#REF!</definedName>
    <definedName name="L_VOTE" localSheetId="2">'SORTIES 2015'!#REF!</definedName>
    <definedName name="L_VOTE" localSheetId="0">'SORTIES 2016'!#REF!</definedName>
    <definedName name="L_VOTE">DEFINITIONS!$I$12:$I$13</definedName>
    <definedName name="Z_BB83BFFE_3D54_4F8E_B027_118B86B3AF3E_.wvu.PrintArea" localSheetId="15" hidden="1">seuil!$B$1:$Q$42</definedName>
    <definedName name="_xlnm.Print_Area" localSheetId="15">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7" i="20" l="1"/>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6"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7"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43" i="20"/>
  <c r="F44" i="20"/>
  <c r="F45" i="20"/>
  <c r="F46" i="20"/>
  <c r="F47" i="20"/>
  <c r="F48" i="20"/>
  <c r="F42" i="20"/>
  <c r="F7" i="20"/>
  <c r="F6" i="20"/>
  <c r="F8" i="20"/>
  <c r="F9" i="20"/>
  <c r="F10" i="20"/>
  <c r="F11" i="20"/>
  <c r="F12" i="20"/>
  <c r="F13" i="20"/>
  <c r="F14" i="20"/>
  <c r="F15" i="20"/>
  <c r="F16" i="20"/>
  <c r="F17" i="20"/>
  <c r="F18" i="20"/>
  <c r="F19" i="20"/>
  <c r="F20" i="20"/>
  <c r="F21" i="20"/>
  <c r="F22" i="20"/>
  <c r="F23" i="20"/>
  <c r="F24" i="20"/>
  <c r="F25" i="20"/>
  <c r="F26" i="20"/>
  <c r="F27" i="20"/>
  <c r="F28" i="20"/>
  <c r="F29" i="20"/>
  <c r="F30" i="20"/>
  <c r="F31" i="20"/>
  <c r="F33" i="20"/>
  <c r="F34" i="20"/>
  <c r="F35" i="20"/>
  <c r="F36" i="20"/>
  <c r="F37" i="20"/>
  <c r="F38" i="20"/>
  <c r="F39" i="20"/>
  <c r="F40" i="20"/>
  <c r="F41"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370" i="20"/>
  <c r="I6"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43" i="20"/>
  <c r="E44" i="20"/>
  <c r="E45" i="20"/>
  <c r="E46" i="20"/>
  <c r="E47" i="20"/>
  <c r="E48" i="20"/>
  <c r="E42" i="20"/>
  <c r="E7" i="20"/>
  <c r="E6"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H7" i="20"/>
  <c r="J7" i="20"/>
  <c r="H8" i="20"/>
  <c r="J8" i="20"/>
  <c r="H9" i="20"/>
  <c r="J9" i="20"/>
  <c r="H10" i="20"/>
  <c r="J10" i="20"/>
  <c r="H11" i="20"/>
  <c r="J11" i="20"/>
  <c r="H12" i="20"/>
  <c r="J12" i="20"/>
  <c r="H13" i="20"/>
  <c r="J13" i="20"/>
  <c r="H14" i="20"/>
  <c r="J14" i="20"/>
  <c r="H15" i="20"/>
  <c r="J15" i="20"/>
  <c r="H16" i="20"/>
  <c r="J16" i="20"/>
  <c r="H17" i="20"/>
  <c r="J17" i="20"/>
  <c r="H18" i="20"/>
  <c r="J18" i="20"/>
  <c r="H19" i="20"/>
  <c r="J19" i="20"/>
  <c r="H20" i="20"/>
  <c r="J20" i="20"/>
  <c r="H21" i="20"/>
  <c r="J21" i="20"/>
  <c r="H22" i="20"/>
  <c r="J22" i="20"/>
  <c r="H23" i="20"/>
  <c r="J23" i="20"/>
  <c r="H24" i="20"/>
  <c r="J24" i="20"/>
  <c r="H25" i="20"/>
  <c r="J25" i="20"/>
  <c r="H26" i="20"/>
  <c r="J26" i="20"/>
  <c r="H27" i="20"/>
  <c r="J27" i="20"/>
  <c r="H28" i="20"/>
  <c r="J28" i="20"/>
  <c r="H29" i="20"/>
  <c r="J29" i="20"/>
  <c r="H30" i="20"/>
  <c r="J30" i="20"/>
  <c r="H31" i="20"/>
  <c r="J31" i="20"/>
  <c r="H32" i="20"/>
  <c r="J32" i="20"/>
  <c r="H33" i="20"/>
  <c r="J33" i="20"/>
  <c r="H34" i="20"/>
  <c r="J34" i="20"/>
  <c r="H35" i="20"/>
  <c r="J35" i="20"/>
  <c r="H36" i="20"/>
  <c r="J36" i="20"/>
  <c r="H37" i="20"/>
  <c r="J37" i="20"/>
  <c r="H38" i="20"/>
  <c r="J38" i="20"/>
  <c r="H39" i="20"/>
  <c r="J39" i="20"/>
  <c r="H40" i="20"/>
  <c r="J40" i="20"/>
  <c r="H41" i="20"/>
  <c r="J41" i="20"/>
  <c r="H42" i="20"/>
  <c r="J42" i="20"/>
  <c r="H43" i="20"/>
  <c r="J43" i="20"/>
  <c r="H44" i="20"/>
  <c r="J44" i="20"/>
  <c r="H45" i="20"/>
  <c r="J45" i="20"/>
  <c r="H46" i="20"/>
  <c r="J46" i="20"/>
  <c r="H47" i="20"/>
  <c r="J47" i="20"/>
  <c r="H48" i="20"/>
  <c r="J48" i="20"/>
  <c r="H49" i="20"/>
  <c r="J49" i="20"/>
  <c r="H50" i="20"/>
  <c r="J50" i="20"/>
  <c r="H51" i="20"/>
  <c r="J51" i="20"/>
  <c r="H52" i="20"/>
  <c r="J52" i="20"/>
  <c r="H53" i="20"/>
  <c r="J53" i="20"/>
  <c r="H54" i="20"/>
  <c r="J54" i="20"/>
  <c r="H55" i="20"/>
  <c r="J55" i="20"/>
  <c r="H56" i="20"/>
  <c r="J56" i="20"/>
  <c r="H57" i="20"/>
  <c r="J57" i="20"/>
  <c r="H58" i="20"/>
  <c r="J58" i="20"/>
  <c r="H59" i="20"/>
  <c r="J59" i="20"/>
  <c r="H60" i="20"/>
  <c r="J60" i="20"/>
  <c r="H61" i="20"/>
  <c r="J61" i="20"/>
  <c r="H62" i="20"/>
  <c r="J62" i="20"/>
  <c r="H63" i="20"/>
  <c r="J63" i="20"/>
  <c r="H64" i="20"/>
  <c r="J64" i="20"/>
  <c r="H65" i="20"/>
  <c r="J65" i="20"/>
  <c r="H66" i="20"/>
  <c r="J66" i="20"/>
  <c r="H67" i="20"/>
  <c r="J67" i="20"/>
  <c r="H68" i="20"/>
  <c r="J68" i="20"/>
  <c r="H69" i="20"/>
  <c r="J69" i="20"/>
  <c r="H70" i="20"/>
  <c r="J70" i="20"/>
  <c r="H71" i="20"/>
  <c r="J71" i="20"/>
  <c r="H72" i="20"/>
  <c r="J72" i="20"/>
  <c r="H73" i="20"/>
  <c r="J73" i="20"/>
  <c r="H74" i="20"/>
  <c r="J74" i="20"/>
  <c r="H75" i="20"/>
  <c r="J75" i="20"/>
  <c r="H76" i="20"/>
  <c r="J76" i="20"/>
  <c r="H77" i="20"/>
  <c r="J77" i="20"/>
  <c r="H78" i="20"/>
  <c r="J78" i="20"/>
  <c r="H79" i="20"/>
  <c r="J79" i="20"/>
  <c r="H80" i="20"/>
  <c r="J80" i="20"/>
  <c r="H81" i="20"/>
  <c r="J81" i="20"/>
  <c r="H82" i="20"/>
  <c r="J82" i="20"/>
  <c r="H83" i="20"/>
  <c r="J83" i="20"/>
  <c r="H84" i="20"/>
  <c r="J84" i="20"/>
  <c r="H85" i="20"/>
  <c r="J85" i="20"/>
  <c r="H86" i="20"/>
  <c r="J86" i="20"/>
  <c r="H87" i="20"/>
  <c r="J87" i="20"/>
  <c r="H88" i="20"/>
  <c r="J88" i="20"/>
  <c r="H89" i="20"/>
  <c r="J89" i="20"/>
  <c r="H90" i="20"/>
  <c r="J90" i="20"/>
  <c r="H91" i="20"/>
  <c r="J91" i="20"/>
  <c r="H92" i="20"/>
  <c r="J92" i="20"/>
  <c r="H93" i="20"/>
  <c r="J93" i="20"/>
  <c r="H94" i="20"/>
  <c r="J94" i="20"/>
  <c r="H95" i="20"/>
  <c r="J95" i="20"/>
  <c r="H96" i="20"/>
  <c r="J96" i="20"/>
  <c r="H97" i="20"/>
  <c r="J97" i="20"/>
  <c r="H98" i="20"/>
  <c r="J98" i="20"/>
  <c r="H99" i="20"/>
  <c r="J99" i="20"/>
  <c r="H100" i="20"/>
  <c r="J100" i="20"/>
  <c r="H101" i="20"/>
  <c r="J101" i="20"/>
  <c r="H102" i="20"/>
  <c r="J102" i="20"/>
  <c r="H103" i="20"/>
  <c r="J103" i="20"/>
  <c r="H104" i="20"/>
  <c r="J104" i="20"/>
  <c r="H105" i="20"/>
  <c r="J105" i="20"/>
  <c r="H106" i="20"/>
  <c r="J106" i="20"/>
  <c r="H107" i="20"/>
  <c r="J107" i="20"/>
  <c r="H108" i="20"/>
  <c r="J108" i="20"/>
  <c r="H109" i="20"/>
  <c r="J109" i="20"/>
  <c r="H110" i="20"/>
  <c r="J110" i="20"/>
  <c r="H111" i="20"/>
  <c r="J111" i="20"/>
  <c r="H112" i="20"/>
  <c r="J112" i="20"/>
  <c r="H113" i="20"/>
  <c r="J113" i="20"/>
  <c r="H114" i="20"/>
  <c r="J114" i="20"/>
  <c r="H115" i="20"/>
  <c r="J115" i="20"/>
  <c r="H116" i="20"/>
  <c r="J116" i="20"/>
  <c r="H117" i="20"/>
  <c r="J117" i="20"/>
  <c r="H118" i="20"/>
  <c r="J118" i="20"/>
  <c r="H119" i="20"/>
  <c r="J119" i="20"/>
  <c r="H120" i="20"/>
  <c r="J120" i="20"/>
  <c r="H121" i="20"/>
  <c r="J121" i="20"/>
  <c r="H122" i="20"/>
  <c r="J122" i="20"/>
  <c r="H123" i="20"/>
  <c r="J123" i="20"/>
  <c r="H124" i="20"/>
  <c r="J124" i="20"/>
  <c r="H125" i="20"/>
  <c r="J125" i="20"/>
  <c r="H126" i="20"/>
  <c r="J126" i="20"/>
  <c r="H127" i="20"/>
  <c r="J127" i="20"/>
  <c r="H128" i="20"/>
  <c r="J128" i="20"/>
  <c r="H129" i="20"/>
  <c r="J129" i="20"/>
  <c r="H130" i="20"/>
  <c r="J130" i="20"/>
  <c r="H131" i="20"/>
  <c r="J131" i="20"/>
  <c r="H132" i="20"/>
  <c r="J132" i="20"/>
  <c r="H133" i="20"/>
  <c r="J133" i="20"/>
  <c r="H134" i="20"/>
  <c r="J134" i="20"/>
  <c r="H135" i="20"/>
  <c r="J135" i="20"/>
  <c r="H136" i="20"/>
  <c r="J136" i="20"/>
  <c r="H137" i="20"/>
  <c r="J137" i="20"/>
  <c r="H138" i="20"/>
  <c r="J138" i="20"/>
  <c r="H139" i="20"/>
  <c r="J139" i="20"/>
  <c r="H140" i="20"/>
  <c r="J140" i="20"/>
  <c r="H141" i="20"/>
  <c r="J141" i="20"/>
  <c r="H142" i="20"/>
  <c r="J142" i="20"/>
  <c r="H143" i="20"/>
  <c r="J143" i="20"/>
  <c r="H144" i="20"/>
  <c r="J144" i="20"/>
  <c r="H145" i="20"/>
  <c r="J145" i="20"/>
  <c r="H146" i="20"/>
  <c r="J146" i="20"/>
  <c r="H147" i="20"/>
  <c r="J147" i="20"/>
  <c r="H148" i="20"/>
  <c r="J148" i="20"/>
  <c r="H149" i="20"/>
  <c r="J149" i="20"/>
  <c r="H150" i="20"/>
  <c r="J150" i="20"/>
  <c r="H151" i="20"/>
  <c r="J151" i="20"/>
  <c r="H152" i="20"/>
  <c r="J152" i="20"/>
  <c r="H153" i="20"/>
  <c r="J153" i="20"/>
  <c r="H154" i="20"/>
  <c r="J154" i="20"/>
  <c r="H155" i="20"/>
  <c r="J155" i="20"/>
  <c r="H156" i="20"/>
  <c r="J156" i="20"/>
  <c r="H157" i="20"/>
  <c r="J157" i="20"/>
  <c r="H158" i="20"/>
  <c r="J158" i="20"/>
  <c r="H159" i="20"/>
  <c r="J159" i="20"/>
  <c r="H160" i="20"/>
  <c r="J160" i="20"/>
  <c r="H161" i="20"/>
  <c r="J161" i="20"/>
  <c r="H162" i="20"/>
  <c r="J162" i="20"/>
  <c r="H163" i="20"/>
  <c r="J163" i="20"/>
  <c r="H164" i="20"/>
  <c r="J164" i="20"/>
  <c r="H165" i="20"/>
  <c r="J165" i="20"/>
  <c r="H166" i="20"/>
  <c r="J166" i="20"/>
  <c r="H167" i="20"/>
  <c r="J167" i="20"/>
  <c r="H168" i="20"/>
  <c r="J168" i="20"/>
  <c r="H169" i="20"/>
  <c r="J169" i="20"/>
  <c r="H170" i="20"/>
  <c r="J170" i="20"/>
  <c r="H171" i="20"/>
  <c r="J171" i="20"/>
  <c r="H172" i="20"/>
  <c r="J172" i="20"/>
  <c r="H173" i="20"/>
  <c r="J173" i="20"/>
  <c r="H174" i="20"/>
  <c r="J174" i="20"/>
  <c r="H175" i="20"/>
  <c r="J175" i="20"/>
  <c r="H176" i="20"/>
  <c r="J176" i="20"/>
  <c r="H177" i="20"/>
  <c r="J177" i="20"/>
  <c r="H178" i="20"/>
  <c r="J178" i="20"/>
  <c r="H179" i="20"/>
  <c r="J179" i="20"/>
  <c r="H180" i="20"/>
  <c r="J180" i="20"/>
  <c r="H181" i="20"/>
  <c r="J181" i="20"/>
  <c r="H182" i="20"/>
  <c r="J182" i="20"/>
  <c r="H183" i="20"/>
  <c r="J183" i="20"/>
  <c r="H184" i="20"/>
  <c r="J184" i="20"/>
  <c r="H185" i="20"/>
  <c r="J185" i="20"/>
  <c r="H186" i="20"/>
  <c r="J186" i="20"/>
  <c r="H187" i="20"/>
  <c r="J187" i="20"/>
  <c r="H188" i="20"/>
  <c r="J188" i="20"/>
  <c r="H189" i="20"/>
  <c r="J189" i="20"/>
  <c r="H190" i="20"/>
  <c r="J190" i="20"/>
  <c r="H191" i="20"/>
  <c r="J191" i="20"/>
  <c r="H192" i="20"/>
  <c r="J192" i="20"/>
  <c r="H193" i="20"/>
  <c r="J193" i="20"/>
  <c r="H194" i="20"/>
  <c r="J194" i="20"/>
  <c r="H195" i="20"/>
  <c r="J195" i="20"/>
  <c r="H196" i="20"/>
  <c r="J196" i="20"/>
  <c r="H197" i="20"/>
  <c r="J197" i="20"/>
  <c r="H198" i="20"/>
  <c r="J198" i="20"/>
  <c r="H199" i="20"/>
  <c r="J199" i="20"/>
  <c r="H200" i="20"/>
  <c r="J200" i="20"/>
  <c r="H201" i="20"/>
  <c r="J201" i="20"/>
  <c r="H202" i="20"/>
  <c r="J202" i="20"/>
  <c r="H203" i="20"/>
  <c r="J203" i="20"/>
  <c r="H204" i="20"/>
  <c r="J204" i="20"/>
  <c r="H205" i="20"/>
  <c r="J205" i="20"/>
  <c r="H206" i="20"/>
  <c r="J206" i="20"/>
  <c r="H207" i="20"/>
  <c r="J207" i="20"/>
  <c r="H208" i="20"/>
  <c r="J208" i="20"/>
  <c r="H209" i="20"/>
  <c r="J209" i="20"/>
  <c r="H210" i="20"/>
  <c r="J210" i="20"/>
  <c r="H211" i="20"/>
  <c r="J211" i="20"/>
  <c r="H212" i="20"/>
  <c r="J212" i="20"/>
  <c r="H213" i="20"/>
  <c r="J213" i="20"/>
  <c r="H214" i="20"/>
  <c r="J214" i="20"/>
  <c r="H215" i="20"/>
  <c r="J215" i="20"/>
  <c r="H216" i="20"/>
  <c r="J216" i="20"/>
  <c r="H217" i="20"/>
  <c r="J217" i="20"/>
  <c r="H218" i="20"/>
  <c r="J218" i="20"/>
  <c r="H219" i="20"/>
  <c r="J219" i="20"/>
  <c r="H220" i="20"/>
  <c r="J220" i="20"/>
  <c r="H221" i="20"/>
  <c r="J221" i="20"/>
  <c r="H222" i="20"/>
  <c r="J222" i="20"/>
  <c r="H223" i="20"/>
  <c r="J223" i="20"/>
  <c r="H224" i="20"/>
  <c r="J224" i="20"/>
  <c r="H225" i="20"/>
  <c r="J225" i="20"/>
  <c r="H226" i="20"/>
  <c r="J226" i="20"/>
  <c r="H227" i="20"/>
  <c r="J227" i="20"/>
  <c r="H228" i="20"/>
  <c r="J228" i="20"/>
  <c r="H229" i="20"/>
  <c r="J229" i="20"/>
  <c r="H230" i="20"/>
  <c r="J230" i="20"/>
  <c r="H231" i="20"/>
  <c r="J231" i="20"/>
  <c r="H232" i="20"/>
  <c r="J232" i="20"/>
  <c r="H233" i="20"/>
  <c r="J233" i="20"/>
  <c r="H234" i="20"/>
  <c r="J234" i="20"/>
  <c r="H235" i="20"/>
  <c r="J235" i="20"/>
  <c r="H236" i="20"/>
  <c r="J236" i="20"/>
  <c r="H237" i="20"/>
  <c r="J237" i="20"/>
  <c r="H238" i="20"/>
  <c r="J238" i="20"/>
  <c r="H239" i="20"/>
  <c r="J239" i="20"/>
  <c r="H240" i="20"/>
  <c r="J240" i="20"/>
  <c r="H241" i="20"/>
  <c r="J241" i="20"/>
  <c r="H242" i="20"/>
  <c r="J242" i="20"/>
  <c r="H243" i="20"/>
  <c r="J243" i="20"/>
  <c r="H244" i="20"/>
  <c r="J244" i="20"/>
  <c r="H245" i="20"/>
  <c r="J245" i="20"/>
  <c r="H246" i="20"/>
  <c r="J246" i="20"/>
  <c r="H247" i="20"/>
  <c r="J247" i="20"/>
  <c r="H248" i="20"/>
  <c r="J248" i="20"/>
  <c r="H249" i="20"/>
  <c r="J249" i="20"/>
  <c r="H250" i="20"/>
  <c r="J250" i="20"/>
  <c r="H251" i="20"/>
  <c r="J251" i="20"/>
  <c r="H252" i="20"/>
  <c r="J252" i="20"/>
  <c r="H253" i="20"/>
  <c r="J253" i="20"/>
  <c r="H254" i="20"/>
  <c r="J254" i="20"/>
  <c r="H255" i="20"/>
  <c r="J255" i="20"/>
  <c r="H256" i="20"/>
  <c r="J256" i="20"/>
  <c r="H257" i="20"/>
  <c r="J257" i="20"/>
  <c r="H258" i="20"/>
  <c r="J258" i="20"/>
  <c r="H259" i="20"/>
  <c r="J259" i="20"/>
  <c r="H260" i="20"/>
  <c r="J260" i="20"/>
  <c r="H261" i="20"/>
  <c r="J261" i="20"/>
  <c r="H262" i="20"/>
  <c r="J262" i="20"/>
  <c r="H263" i="20"/>
  <c r="J263" i="20"/>
  <c r="H264" i="20"/>
  <c r="J264" i="20"/>
  <c r="H265" i="20"/>
  <c r="J265" i="20"/>
  <c r="H266" i="20"/>
  <c r="J266" i="20"/>
  <c r="H267" i="20"/>
  <c r="J267" i="20"/>
  <c r="H268" i="20"/>
  <c r="J268" i="20"/>
  <c r="H269" i="20"/>
  <c r="J269" i="20"/>
  <c r="H270" i="20"/>
  <c r="J270" i="20"/>
  <c r="H271" i="20"/>
  <c r="J271" i="20"/>
  <c r="H272" i="20"/>
  <c r="J272" i="20"/>
  <c r="H273" i="20"/>
  <c r="J273" i="20"/>
  <c r="H274" i="20"/>
  <c r="J274" i="20"/>
  <c r="H275" i="20"/>
  <c r="J275" i="20"/>
  <c r="H276" i="20"/>
  <c r="J276" i="20"/>
  <c r="H277" i="20"/>
  <c r="J277" i="20"/>
  <c r="H278" i="20"/>
  <c r="J278" i="20"/>
  <c r="H279" i="20"/>
  <c r="J279" i="20"/>
  <c r="H280" i="20"/>
  <c r="J280" i="20"/>
  <c r="H281" i="20"/>
  <c r="J281" i="20"/>
  <c r="H282" i="20"/>
  <c r="J282" i="20"/>
  <c r="H283" i="20"/>
  <c r="J283" i="20"/>
  <c r="H284" i="20"/>
  <c r="J284" i="20"/>
  <c r="H285" i="20"/>
  <c r="J285" i="20"/>
  <c r="H286" i="20"/>
  <c r="J286" i="20"/>
  <c r="H287" i="20"/>
  <c r="J287" i="20"/>
  <c r="H288" i="20"/>
  <c r="J288" i="20"/>
  <c r="H289" i="20"/>
  <c r="J289" i="20"/>
  <c r="H290" i="20"/>
  <c r="J290" i="20"/>
  <c r="H291" i="20"/>
  <c r="J291" i="20"/>
  <c r="H292" i="20"/>
  <c r="J292" i="20"/>
  <c r="H293" i="20"/>
  <c r="J293" i="20"/>
  <c r="H294" i="20"/>
  <c r="J294" i="20"/>
  <c r="H295" i="20"/>
  <c r="J295" i="20"/>
  <c r="H296" i="20"/>
  <c r="J296" i="20"/>
  <c r="H297" i="20"/>
  <c r="J297" i="20"/>
  <c r="H298" i="20"/>
  <c r="J298" i="20"/>
  <c r="H299" i="20"/>
  <c r="J299" i="20"/>
  <c r="H300" i="20"/>
  <c r="J300" i="20"/>
  <c r="H301" i="20"/>
  <c r="J301" i="20"/>
  <c r="H302" i="20"/>
  <c r="J302" i="20"/>
  <c r="H303" i="20"/>
  <c r="J303" i="20"/>
  <c r="H304" i="20"/>
  <c r="J304" i="20"/>
  <c r="H305" i="20"/>
  <c r="J305" i="20"/>
  <c r="H306" i="20"/>
  <c r="J306" i="20"/>
  <c r="H307" i="20"/>
  <c r="J307" i="20"/>
  <c r="H308" i="20"/>
  <c r="J308" i="20"/>
  <c r="H309" i="20"/>
  <c r="J309" i="20"/>
  <c r="H310" i="20"/>
  <c r="J310" i="20"/>
  <c r="H311" i="20"/>
  <c r="J311" i="20"/>
  <c r="H312" i="20"/>
  <c r="J312" i="20"/>
  <c r="H313" i="20"/>
  <c r="J313" i="20"/>
  <c r="H314" i="20"/>
  <c r="J314" i="20"/>
  <c r="H315" i="20"/>
  <c r="J315" i="20"/>
  <c r="H316" i="20"/>
  <c r="J316" i="20"/>
  <c r="H317" i="20"/>
  <c r="J317" i="20"/>
  <c r="H318" i="20"/>
  <c r="J318" i="20"/>
  <c r="H319" i="20"/>
  <c r="J319" i="20"/>
  <c r="H320" i="20"/>
  <c r="J320" i="20"/>
  <c r="H321" i="20"/>
  <c r="J321" i="20"/>
  <c r="H322" i="20"/>
  <c r="J322" i="20"/>
  <c r="H323" i="20"/>
  <c r="J323" i="20"/>
  <c r="H324" i="20"/>
  <c r="J324" i="20"/>
  <c r="H325" i="20"/>
  <c r="J325" i="20"/>
  <c r="H326" i="20"/>
  <c r="J326" i="20"/>
  <c r="H327" i="20"/>
  <c r="J327" i="20"/>
  <c r="H328" i="20"/>
  <c r="J328" i="20"/>
  <c r="H329" i="20"/>
  <c r="J329" i="20"/>
  <c r="H330" i="20"/>
  <c r="J330" i="20"/>
  <c r="H331" i="20"/>
  <c r="J331" i="20"/>
  <c r="H332" i="20"/>
  <c r="J332" i="20"/>
  <c r="H333" i="20"/>
  <c r="J333" i="20"/>
  <c r="H334" i="20"/>
  <c r="J334" i="20"/>
  <c r="H335" i="20"/>
  <c r="J335" i="20"/>
  <c r="H336" i="20"/>
  <c r="J336" i="20"/>
  <c r="H337" i="20"/>
  <c r="J337" i="20"/>
  <c r="H338" i="20"/>
  <c r="J338" i="20"/>
  <c r="H339" i="20"/>
  <c r="J339" i="20"/>
  <c r="H340" i="20"/>
  <c r="J340" i="20"/>
  <c r="H341" i="20"/>
  <c r="J341" i="20"/>
  <c r="H342" i="20"/>
  <c r="J342" i="20"/>
  <c r="H343" i="20"/>
  <c r="J343" i="20"/>
  <c r="H344" i="20"/>
  <c r="J344" i="20"/>
  <c r="H345" i="20"/>
  <c r="J345" i="20"/>
  <c r="H346" i="20"/>
  <c r="J346" i="20"/>
  <c r="H347" i="20"/>
  <c r="J347" i="20"/>
  <c r="H348" i="20"/>
  <c r="J348" i="20"/>
  <c r="H349" i="20"/>
  <c r="J349" i="20"/>
  <c r="H350" i="20"/>
  <c r="J350" i="20"/>
  <c r="H351" i="20"/>
  <c r="J351" i="20"/>
  <c r="H352" i="20"/>
  <c r="J352" i="20"/>
  <c r="H353" i="20"/>
  <c r="J353" i="20"/>
  <c r="H354" i="20"/>
  <c r="J354" i="20"/>
  <c r="H355" i="20"/>
  <c r="J355" i="20"/>
  <c r="H356" i="20"/>
  <c r="J356" i="20"/>
  <c r="H357" i="20"/>
  <c r="J357" i="20"/>
  <c r="H358" i="20"/>
  <c r="J358" i="20"/>
  <c r="H359" i="20"/>
  <c r="J359" i="20"/>
  <c r="H360" i="20"/>
  <c r="J360" i="20"/>
  <c r="H361" i="20"/>
  <c r="J361" i="20"/>
  <c r="H362" i="20"/>
  <c r="J362" i="20"/>
  <c r="H363" i="20"/>
  <c r="J363" i="20"/>
  <c r="H364" i="20"/>
  <c r="J364" i="20"/>
  <c r="H365" i="20"/>
  <c r="J365" i="20"/>
  <c r="H366" i="20"/>
  <c r="J366" i="20"/>
  <c r="H367" i="20"/>
  <c r="J367" i="20"/>
  <c r="H368" i="20"/>
  <c r="J368" i="20"/>
  <c r="H369" i="20"/>
  <c r="J369" i="20"/>
  <c r="H370" i="20"/>
  <c r="J370" i="20"/>
  <c r="H6" i="20"/>
  <c r="E23" i="16"/>
  <c r="E22" i="16"/>
  <c r="E13" i="16"/>
  <c r="E12" i="16"/>
  <c r="E11" i="16"/>
  <c r="E10" i="16"/>
  <c r="E9" i="16"/>
  <c r="E8" i="16"/>
  <c r="E7" i="16"/>
  <c r="E15" i="16"/>
  <c r="E16" i="16"/>
  <c r="E17" i="16"/>
  <c r="E14" i="16"/>
  <c r="G11" i="23"/>
  <c r="G12" i="23"/>
  <c r="G13" i="23"/>
  <c r="G14" i="23"/>
  <c r="G15" i="23"/>
  <c r="G16" i="23"/>
  <c r="G17" i="23"/>
  <c r="G10" i="23"/>
  <c r="F10" i="23"/>
  <c r="E24" i="23"/>
  <c r="D24" i="23"/>
  <c r="E25" i="23"/>
  <c r="D25" i="23"/>
  <c r="E26" i="23"/>
  <c r="D26" i="23"/>
  <c r="E27" i="23"/>
  <c r="D27" i="23"/>
  <c r="E28" i="23"/>
  <c r="D28" i="23"/>
  <c r="E29" i="23"/>
  <c r="D29" i="23"/>
  <c r="J28" i="23"/>
  <c r="E11" i="23"/>
  <c r="C11" i="23"/>
  <c r="E12" i="23"/>
  <c r="C12" i="23"/>
  <c r="E13" i="23"/>
  <c r="C13" i="23"/>
  <c r="E14" i="23"/>
  <c r="C14" i="23"/>
  <c r="E15" i="23"/>
  <c r="C15" i="23"/>
  <c r="E16" i="23"/>
  <c r="C16" i="23"/>
  <c r="E17" i="23"/>
  <c r="C17" i="23"/>
  <c r="E10" i="23"/>
  <c r="K11" i="23"/>
  <c r="K10" i="23"/>
  <c r="K13" i="23"/>
  <c r="K14" i="23"/>
  <c r="K12" i="23"/>
  <c r="C10" i="23"/>
  <c r="F7" i="23"/>
  <c r="K27" i="23"/>
  <c r="K25" i="23"/>
  <c r="J27" i="23"/>
  <c r="J26" i="23"/>
  <c r="J25" i="23"/>
  <c r="J24" i="23"/>
  <c r="E36" i="22"/>
  <c r="E21" i="23"/>
  <c r="D21" i="23"/>
  <c r="E23" i="23"/>
  <c r="D23" i="23"/>
  <c r="E22" i="23"/>
  <c r="D22" i="23"/>
  <c r="J9" i="23"/>
  <c r="C38" i="23"/>
  <c r="C39" i="23"/>
  <c r="K40" i="23"/>
  <c r="J40" i="23"/>
  <c r="I40" i="23"/>
  <c r="H40" i="23"/>
  <c r="G40" i="23"/>
  <c r="F40" i="23"/>
  <c r="E40" i="23"/>
  <c r="D40" i="23"/>
  <c r="K38" i="23"/>
  <c r="K39" i="23"/>
  <c r="J38" i="23"/>
  <c r="J39" i="23"/>
  <c r="I38" i="23"/>
  <c r="I39" i="23"/>
  <c r="H38" i="23"/>
  <c r="H39" i="23"/>
  <c r="G38" i="23"/>
  <c r="G39" i="23"/>
  <c r="F38" i="23"/>
  <c r="F39" i="23"/>
  <c r="E38" i="23"/>
  <c r="E39" i="23"/>
  <c r="D38" i="23"/>
  <c r="D39" i="23"/>
  <c r="C40" i="23"/>
  <c r="T22" i="21"/>
  <c r="K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D44" i="1"/>
  <c r="D37" i="1"/>
  <c r="D23" i="1"/>
  <c r="D16" i="1"/>
  <c r="Q16" i="1"/>
  <c r="Q15" i="1"/>
  <c r="T16" i="1"/>
  <c r="S16" i="1"/>
  <c r="T15" i="1"/>
  <c r="S15" i="1"/>
  <c r="Q14" i="1"/>
  <c r="Q13" i="1"/>
  <c r="T12" i="1"/>
  <c r="T11" i="1"/>
  <c r="U8" i="1"/>
  <c r="U9" i="1"/>
  <c r="S12" i="1"/>
  <c r="S11" i="1"/>
  <c r="U370" i="20"/>
  <c r="T370" i="20"/>
  <c r="S370" i="20"/>
  <c r="N370" i="20"/>
  <c r="M370" i="20"/>
  <c r="U369" i="20"/>
  <c r="T369" i="20"/>
  <c r="S369" i="20"/>
  <c r="N369" i="20"/>
  <c r="M369" i="20"/>
  <c r="U368" i="20"/>
  <c r="T368" i="20"/>
  <c r="S368" i="20"/>
  <c r="N368" i="20"/>
  <c r="M368" i="20"/>
  <c r="U367" i="20"/>
  <c r="T367" i="20"/>
  <c r="S367" i="20"/>
  <c r="N367" i="20"/>
  <c r="M367" i="20"/>
  <c r="U366" i="20"/>
  <c r="T366" i="20"/>
  <c r="S366" i="20"/>
  <c r="N366" i="20"/>
  <c r="M366" i="20"/>
  <c r="U365" i="20"/>
  <c r="T365" i="20"/>
  <c r="S365" i="20"/>
  <c r="N365" i="20"/>
  <c r="M365" i="20"/>
  <c r="U364" i="20"/>
  <c r="T364" i="20"/>
  <c r="S364" i="20"/>
  <c r="N364" i="20"/>
  <c r="M364" i="20"/>
  <c r="U363" i="20"/>
  <c r="T363" i="20"/>
  <c r="S363" i="20"/>
  <c r="N363" i="20"/>
  <c r="M363" i="20"/>
  <c r="U362" i="20"/>
  <c r="T362" i="20"/>
  <c r="S362" i="20"/>
  <c r="N362" i="20"/>
  <c r="M362" i="20"/>
  <c r="U361" i="20"/>
  <c r="T361" i="20"/>
  <c r="S361" i="20"/>
  <c r="N361" i="20"/>
  <c r="M361" i="20"/>
  <c r="U360" i="20"/>
  <c r="T360" i="20"/>
  <c r="S360" i="20"/>
  <c r="N360" i="20"/>
  <c r="M360" i="20"/>
  <c r="U359" i="20"/>
  <c r="T359" i="20"/>
  <c r="S359" i="20"/>
  <c r="N359" i="20"/>
  <c r="M359" i="20"/>
  <c r="U358" i="20"/>
  <c r="T358" i="20"/>
  <c r="S358" i="20"/>
  <c r="N358" i="20"/>
  <c r="M358" i="20"/>
  <c r="U357" i="20"/>
  <c r="T357" i="20"/>
  <c r="S357" i="20"/>
  <c r="N357" i="20"/>
  <c r="M357" i="20"/>
  <c r="U356" i="20"/>
  <c r="T356" i="20"/>
  <c r="S356" i="20"/>
  <c r="N356" i="20"/>
  <c r="M356" i="20"/>
  <c r="U355" i="20"/>
  <c r="T355" i="20"/>
  <c r="S355" i="20"/>
  <c r="N355" i="20"/>
  <c r="M355" i="20"/>
  <c r="U354" i="20"/>
  <c r="T354" i="20"/>
  <c r="S354" i="20"/>
  <c r="N354" i="20"/>
  <c r="M354" i="20"/>
  <c r="U353" i="20"/>
  <c r="T353" i="20"/>
  <c r="S353" i="20"/>
  <c r="N353" i="20"/>
  <c r="M353" i="20"/>
  <c r="U352" i="20"/>
  <c r="T352" i="20"/>
  <c r="S352" i="20"/>
  <c r="N352" i="20"/>
  <c r="M352" i="20"/>
  <c r="U351" i="20"/>
  <c r="T351" i="20"/>
  <c r="S351" i="20"/>
  <c r="N351" i="20"/>
  <c r="M351" i="20"/>
  <c r="U350" i="20"/>
  <c r="T350" i="20"/>
  <c r="S350" i="20"/>
  <c r="N350" i="20"/>
  <c r="M350" i="20"/>
  <c r="U349" i="20"/>
  <c r="T349" i="20"/>
  <c r="S349" i="20"/>
  <c r="N349" i="20"/>
  <c r="M349" i="20"/>
  <c r="U348" i="20"/>
  <c r="T348" i="20"/>
  <c r="S348" i="20"/>
  <c r="N348" i="20"/>
  <c r="M348" i="20"/>
  <c r="U347" i="20"/>
  <c r="T347" i="20"/>
  <c r="S347" i="20"/>
  <c r="N347" i="20"/>
  <c r="M347" i="20"/>
  <c r="U346" i="20"/>
  <c r="T346" i="20"/>
  <c r="S346" i="20"/>
  <c r="N346" i="20"/>
  <c r="M346" i="20"/>
  <c r="U345" i="20"/>
  <c r="T345" i="20"/>
  <c r="S345" i="20"/>
  <c r="N345" i="20"/>
  <c r="M345" i="20"/>
  <c r="U344" i="20"/>
  <c r="T344" i="20"/>
  <c r="S344" i="20"/>
  <c r="N344" i="20"/>
  <c r="M344" i="20"/>
  <c r="U343" i="20"/>
  <c r="T343" i="20"/>
  <c r="S343" i="20"/>
  <c r="N343" i="20"/>
  <c r="M343" i="20"/>
  <c r="U342" i="20"/>
  <c r="T342" i="20"/>
  <c r="S342" i="20"/>
  <c r="N342" i="20"/>
  <c r="M342" i="20"/>
  <c r="U341" i="20"/>
  <c r="T341" i="20"/>
  <c r="S341" i="20"/>
  <c r="N341" i="20"/>
  <c r="M341" i="20"/>
  <c r="U340" i="20"/>
  <c r="T340" i="20"/>
  <c r="S340" i="20"/>
  <c r="N340" i="20"/>
  <c r="M340" i="20"/>
  <c r="U339" i="20"/>
  <c r="T339" i="20"/>
  <c r="S339" i="20"/>
  <c r="N339" i="20"/>
  <c r="M339" i="20"/>
  <c r="U338" i="20"/>
  <c r="T338" i="20"/>
  <c r="S338" i="20"/>
  <c r="N338" i="20"/>
  <c r="M338" i="20"/>
  <c r="U337" i="20"/>
  <c r="T337" i="20"/>
  <c r="S337" i="20"/>
  <c r="N337" i="20"/>
  <c r="M337" i="20"/>
  <c r="U336" i="20"/>
  <c r="T336" i="20"/>
  <c r="S336" i="20"/>
  <c r="N336" i="20"/>
  <c r="M336" i="20"/>
  <c r="U335" i="20"/>
  <c r="T335" i="20"/>
  <c r="S335" i="20"/>
  <c r="N335" i="20"/>
  <c r="M335" i="20"/>
  <c r="U334" i="20"/>
  <c r="T334" i="20"/>
  <c r="S334" i="20"/>
  <c r="N334" i="20"/>
  <c r="M334" i="20"/>
  <c r="U333" i="20"/>
  <c r="T333" i="20"/>
  <c r="S333" i="20"/>
  <c r="N333" i="20"/>
  <c r="M333" i="20"/>
  <c r="U332" i="20"/>
  <c r="T332" i="20"/>
  <c r="S332" i="20"/>
  <c r="N332" i="20"/>
  <c r="M332" i="20"/>
  <c r="U331" i="20"/>
  <c r="T331" i="20"/>
  <c r="S331" i="20"/>
  <c r="N331" i="20"/>
  <c r="M331" i="20"/>
  <c r="U330" i="20"/>
  <c r="T330" i="20"/>
  <c r="S330" i="20"/>
  <c r="N330" i="20"/>
  <c r="M330" i="20"/>
  <c r="U329" i="20"/>
  <c r="T329" i="20"/>
  <c r="S329" i="20"/>
  <c r="N329" i="20"/>
  <c r="M329" i="20"/>
  <c r="U328" i="20"/>
  <c r="T328" i="20"/>
  <c r="S328" i="20"/>
  <c r="N328" i="20"/>
  <c r="M328" i="20"/>
  <c r="U327" i="20"/>
  <c r="T327" i="20"/>
  <c r="S327" i="20"/>
  <c r="N327" i="20"/>
  <c r="M327" i="20"/>
  <c r="U326" i="20"/>
  <c r="T326" i="20"/>
  <c r="S326" i="20"/>
  <c r="N326" i="20"/>
  <c r="M326" i="20"/>
  <c r="U325" i="20"/>
  <c r="T325" i="20"/>
  <c r="S325" i="20"/>
  <c r="N325" i="20"/>
  <c r="M325" i="20"/>
  <c r="U324" i="20"/>
  <c r="T324" i="20"/>
  <c r="S324" i="20"/>
  <c r="N324" i="20"/>
  <c r="M324" i="20"/>
  <c r="U323" i="20"/>
  <c r="T323" i="20"/>
  <c r="S323" i="20"/>
  <c r="N323" i="20"/>
  <c r="M323" i="20"/>
  <c r="U322" i="20"/>
  <c r="T322" i="20"/>
  <c r="S322" i="20"/>
  <c r="N322" i="20"/>
  <c r="M322" i="20"/>
  <c r="U321" i="20"/>
  <c r="T321" i="20"/>
  <c r="S321" i="20"/>
  <c r="N321" i="20"/>
  <c r="M321" i="20"/>
  <c r="U320" i="20"/>
  <c r="T320" i="20"/>
  <c r="S320" i="20"/>
  <c r="N320" i="20"/>
  <c r="M320" i="20"/>
  <c r="U319" i="20"/>
  <c r="T319" i="20"/>
  <c r="S319" i="20"/>
  <c r="N319" i="20"/>
  <c r="M319" i="20"/>
  <c r="U318" i="20"/>
  <c r="T318" i="20"/>
  <c r="S318" i="20"/>
  <c r="N318" i="20"/>
  <c r="M318" i="20"/>
  <c r="U317" i="20"/>
  <c r="T317" i="20"/>
  <c r="S317" i="20"/>
  <c r="N317" i="20"/>
  <c r="M317" i="20"/>
  <c r="U316" i="20"/>
  <c r="T316" i="20"/>
  <c r="S316" i="20"/>
  <c r="N316" i="20"/>
  <c r="M316" i="20"/>
  <c r="U315" i="20"/>
  <c r="T315" i="20"/>
  <c r="S315" i="20"/>
  <c r="N315" i="20"/>
  <c r="M315" i="20"/>
  <c r="U314" i="20"/>
  <c r="T314" i="20"/>
  <c r="S314" i="20"/>
  <c r="N314" i="20"/>
  <c r="M314" i="20"/>
  <c r="U313" i="20"/>
  <c r="T313" i="20"/>
  <c r="S313" i="20"/>
  <c r="N313" i="20"/>
  <c r="M313" i="20"/>
  <c r="U312" i="20"/>
  <c r="T312" i="20"/>
  <c r="S312" i="20"/>
  <c r="N312" i="20"/>
  <c r="M312" i="20"/>
  <c r="U311" i="20"/>
  <c r="T311" i="20"/>
  <c r="S311" i="20"/>
  <c r="N311" i="20"/>
  <c r="M311" i="20"/>
  <c r="U310" i="20"/>
  <c r="T310" i="20"/>
  <c r="S310" i="20"/>
  <c r="N310" i="20"/>
  <c r="M310" i="20"/>
  <c r="U309" i="20"/>
  <c r="T309" i="20"/>
  <c r="S309" i="20"/>
  <c r="N309" i="20"/>
  <c r="M309" i="20"/>
  <c r="U308" i="20"/>
  <c r="T308" i="20"/>
  <c r="S308" i="20"/>
  <c r="N308" i="20"/>
  <c r="M308" i="20"/>
  <c r="U307" i="20"/>
  <c r="T307" i="20"/>
  <c r="S307" i="20"/>
  <c r="N307" i="20"/>
  <c r="M307" i="20"/>
  <c r="U306" i="20"/>
  <c r="T306" i="20"/>
  <c r="S306" i="20"/>
  <c r="N306" i="20"/>
  <c r="M306" i="20"/>
  <c r="U305" i="20"/>
  <c r="T305" i="20"/>
  <c r="S305" i="20"/>
  <c r="N305" i="20"/>
  <c r="M305" i="20"/>
  <c r="U304" i="20"/>
  <c r="T304" i="20"/>
  <c r="S304" i="20"/>
  <c r="N304" i="20"/>
  <c r="M304" i="20"/>
  <c r="U303" i="20"/>
  <c r="T303" i="20"/>
  <c r="S303" i="20"/>
  <c r="N303" i="20"/>
  <c r="M303" i="20"/>
  <c r="U302" i="20"/>
  <c r="T302" i="20"/>
  <c r="S302" i="20"/>
  <c r="N302" i="20"/>
  <c r="M302" i="20"/>
  <c r="U301" i="20"/>
  <c r="T301" i="20"/>
  <c r="S301" i="20"/>
  <c r="N301" i="20"/>
  <c r="M301" i="20"/>
  <c r="U300" i="20"/>
  <c r="T300" i="20"/>
  <c r="S300" i="20"/>
  <c r="N300" i="20"/>
  <c r="M300" i="20"/>
  <c r="U299" i="20"/>
  <c r="T299" i="20"/>
  <c r="S299" i="20"/>
  <c r="N299" i="20"/>
  <c r="M299" i="20"/>
  <c r="U298" i="20"/>
  <c r="T298" i="20"/>
  <c r="S298" i="20"/>
  <c r="N298" i="20"/>
  <c r="M298" i="20"/>
  <c r="U297" i="20"/>
  <c r="T297" i="20"/>
  <c r="S297" i="20"/>
  <c r="N297" i="20"/>
  <c r="M297" i="20"/>
  <c r="U296" i="20"/>
  <c r="T296" i="20"/>
  <c r="S296" i="20"/>
  <c r="N296" i="20"/>
  <c r="M296" i="20"/>
  <c r="U295" i="20"/>
  <c r="T295" i="20"/>
  <c r="S295" i="20"/>
  <c r="N295" i="20"/>
  <c r="M295" i="20"/>
  <c r="U294" i="20"/>
  <c r="T294" i="20"/>
  <c r="S294" i="20"/>
  <c r="N294" i="20"/>
  <c r="M294" i="20"/>
  <c r="U293" i="20"/>
  <c r="T293" i="20"/>
  <c r="S293" i="20"/>
  <c r="N293" i="20"/>
  <c r="M293" i="20"/>
  <c r="U292" i="20"/>
  <c r="T292" i="20"/>
  <c r="S292" i="20"/>
  <c r="N292" i="20"/>
  <c r="M292" i="20"/>
  <c r="U291" i="20"/>
  <c r="T291" i="20"/>
  <c r="S291" i="20"/>
  <c r="N291" i="20"/>
  <c r="M291" i="20"/>
  <c r="U290" i="20"/>
  <c r="T290" i="20"/>
  <c r="S290" i="20"/>
  <c r="N290" i="20"/>
  <c r="M290" i="20"/>
  <c r="U289" i="20"/>
  <c r="T289" i="20"/>
  <c r="S289" i="20"/>
  <c r="N289" i="20"/>
  <c r="M289" i="20"/>
  <c r="U288" i="20"/>
  <c r="T288" i="20"/>
  <c r="S288" i="20"/>
  <c r="N288" i="20"/>
  <c r="M288" i="20"/>
  <c r="U287" i="20"/>
  <c r="T287" i="20"/>
  <c r="S287" i="20"/>
  <c r="N287" i="20"/>
  <c r="M287" i="20"/>
  <c r="U286" i="20"/>
  <c r="T286" i="20"/>
  <c r="S286" i="20"/>
  <c r="N286" i="20"/>
  <c r="M286" i="20"/>
  <c r="U285" i="20"/>
  <c r="T285" i="20"/>
  <c r="S285" i="20"/>
  <c r="N285" i="20"/>
  <c r="M285" i="20"/>
  <c r="U284" i="20"/>
  <c r="T284" i="20"/>
  <c r="S284" i="20"/>
  <c r="N284" i="20"/>
  <c r="M284" i="20"/>
  <c r="U283" i="20"/>
  <c r="T283" i="20"/>
  <c r="S283" i="20"/>
  <c r="N283" i="20"/>
  <c r="M283" i="20"/>
  <c r="U282" i="20"/>
  <c r="T282" i="20"/>
  <c r="S282" i="20"/>
  <c r="N282" i="20"/>
  <c r="M282" i="20"/>
  <c r="U281" i="20"/>
  <c r="T281" i="20"/>
  <c r="S281" i="20"/>
  <c r="N281" i="20"/>
  <c r="M281" i="20"/>
  <c r="U280" i="20"/>
  <c r="T280" i="20"/>
  <c r="S280" i="20"/>
  <c r="N280" i="20"/>
  <c r="M280" i="20"/>
  <c r="U279" i="20"/>
  <c r="T279" i="20"/>
  <c r="S279" i="20"/>
  <c r="N279" i="20"/>
  <c r="M279" i="20"/>
  <c r="U278" i="20"/>
  <c r="T278" i="20"/>
  <c r="S278" i="20"/>
  <c r="N278" i="20"/>
  <c r="M278" i="20"/>
  <c r="U277" i="20"/>
  <c r="T277" i="20"/>
  <c r="S277" i="20"/>
  <c r="N277" i="20"/>
  <c r="M277" i="20"/>
  <c r="U276" i="20"/>
  <c r="T276" i="20"/>
  <c r="S276" i="20"/>
  <c r="N276" i="20"/>
  <c r="M276" i="20"/>
  <c r="U275" i="20"/>
  <c r="T275" i="20"/>
  <c r="S275" i="20"/>
  <c r="N275" i="20"/>
  <c r="M275" i="20"/>
  <c r="U274" i="20"/>
  <c r="T274" i="20"/>
  <c r="S274" i="20"/>
  <c r="N274" i="20"/>
  <c r="M274" i="20"/>
  <c r="U273" i="20"/>
  <c r="T273" i="20"/>
  <c r="S273" i="20"/>
  <c r="N273" i="20"/>
  <c r="M273" i="20"/>
  <c r="U272" i="20"/>
  <c r="T272" i="20"/>
  <c r="S272" i="20"/>
  <c r="N272" i="20"/>
  <c r="M272" i="20"/>
  <c r="U271" i="20"/>
  <c r="T271" i="20"/>
  <c r="S271" i="20"/>
  <c r="N271" i="20"/>
  <c r="M271" i="20"/>
  <c r="U270" i="20"/>
  <c r="T270" i="20"/>
  <c r="S270" i="20"/>
  <c r="N270" i="20"/>
  <c r="M270" i="20"/>
  <c r="U269" i="20"/>
  <c r="T269" i="20"/>
  <c r="S269" i="20"/>
  <c r="N269" i="20"/>
  <c r="M269" i="20"/>
  <c r="U268" i="20"/>
  <c r="T268" i="20"/>
  <c r="S268" i="20"/>
  <c r="N268" i="20"/>
  <c r="M268" i="20"/>
  <c r="U267" i="20"/>
  <c r="T267" i="20"/>
  <c r="S267" i="20"/>
  <c r="N267" i="20"/>
  <c r="M267" i="20"/>
  <c r="U266" i="20"/>
  <c r="T266" i="20"/>
  <c r="S266" i="20"/>
  <c r="N266" i="20"/>
  <c r="M266" i="20"/>
  <c r="U265" i="20"/>
  <c r="T265" i="20"/>
  <c r="S265" i="20"/>
  <c r="N265" i="20"/>
  <c r="M265" i="20"/>
  <c r="U264" i="20"/>
  <c r="T264" i="20"/>
  <c r="S264" i="20"/>
  <c r="N264" i="20"/>
  <c r="M264" i="20"/>
  <c r="U263" i="20"/>
  <c r="T263" i="20"/>
  <c r="S263" i="20"/>
  <c r="N263" i="20"/>
  <c r="M263" i="20"/>
  <c r="U262" i="20"/>
  <c r="T262" i="20"/>
  <c r="S262" i="20"/>
  <c r="N262" i="20"/>
  <c r="M262" i="20"/>
  <c r="U261" i="20"/>
  <c r="T261" i="20"/>
  <c r="S261" i="20"/>
  <c r="N261" i="20"/>
  <c r="M261" i="20"/>
  <c r="U260" i="20"/>
  <c r="T260" i="20"/>
  <c r="S260" i="20"/>
  <c r="N260" i="20"/>
  <c r="M260" i="20"/>
  <c r="U259" i="20"/>
  <c r="T259" i="20"/>
  <c r="S259" i="20"/>
  <c r="N259" i="20"/>
  <c r="M259" i="20"/>
  <c r="U258" i="20"/>
  <c r="T258" i="20"/>
  <c r="S258" i="20"/>
  <c r="N258" i="20"/>
  <c r="M258" i="20"/>
  <c r="U257" i="20"/>
  <c r="T257" i="20"/>
  <c r="S257" i="20"/>
  <c r="N257" i="20"/>
  <c r="M257" i="20"/>
  <c r="U256" i="20"/>
  <c r="T256" i="20"/>
  <c r="S256" i="20"/>
  <c r="N256" i="20"/>
  <c r="M256" i="20"/>
  <c r="U255" i="20"/>
  <c r="T255" i="20"/>
  <c r="S255" i="20"/>
  <c r="N255" i="20"/>
  <c r="M255" i="20"/>
  <c r="U254" i="20"/>
  <c r="T254" i="20"/>
  <c r="S254" i="20"/>
  <c r="N254" i="20"/>
  <c r="M254" i="20"/>
  <c r="U253" i="20"/>
  <c r="T253" i="20"/>
  <c r="S253" i="20"/>
  <c r="N253" i="20"/>
  <c r="M253" i="20"/>
  <c r="U252" i="20"/>
  <c r="T252" i="20"/>
  <c r="S252" i="20"/>
  <c r="N252" i="20"/>
  <c r="M252" i="20"/>
  <c r="U251" i="20"/>
  <c r="T251" i="20"/>
  <c r="S251" i="20"/>
  <c r="N251" i="20"/>
  <c r="M251" i="20"/>
  <c r="U250" i="20"/>
  <c r="T250" i="20"/>
  <c r="S250" i="20"/>
  <c r="N250" i="20"/>
  <c r="M250" i="20"/>
  <c r="U249" i="20"/>
  <c r="T249" i="20"/>
  <c r="S249" i="20"/>
  <c r="N249" i="20"/>
  <c r="M249" i="20"/>
  <c r="U248" i="20"/>
  <c r="T248" i="20"/>
  <c r="S248" i="20"/>
  <c r="N248" i="20"/>
  <c r="M248" i="20"/>
  <c r="U247" i="20"/>
  <c r="T247" i="20"/>
  <c r="S247" i="20"/>
  <c r="N247" i="20"/>
  <c r="M247" i="20"/>
  <c r="U246" i="20"/>
  <c r="T246" i="20"/>
  <c r="S246" i="20"/>
  <c r="N246" i="20"/>
  <c r="M246" i="20"/>
  <c r="U245" i="20"/>
  <c r="T245" i="20"/>
  <c r="S245" i="20"/>
  <c r="N245" i="20"/>
  <c r="M245" i="20"/>
  <c r="U244" i="20"/>
  <c r="T244" i="20"/>
  <c r="S244" i="20"/>
  <c r="N244" i="20"/>
  <c r="M244" i="20"/>
  <c r="U243" i="20"/>
  <c r="T243" i="20"/>
  <c r="S243" i="20"/>
  <c r="N243" i="20"/>
  <c r="M243" i="20"/>
  <c r="U242" i="20"/>
  <c r="T242" i="20"/>
  <c r="S242" i="20"/>
  <c r="N242" i="20"/>
  <c r="M242" i="20"/>
  <c r="U241" i="20"/>
  <c r="T241" i="20"/>
  <c r="S241" i="20"/>
  <c r="N241" i="20"/>
  <c r="M241" i="20"/>
  <c r="U240" i="20"/>
  <c r="T240" i="20"/>
  <c r="S240" i="20"/>
  <c r="N240" i="20"/>
  <c r="M240" i="20"/>
  <c r="U239" i="20"/>
  <c r="T239" i="20"/>
  <c r="S239" i="20"/>
  <c r="N239" i="20"/>
  <c r="M239" i="20"/>
  <c r="U238" i="20"/>
  <c r="T238" i="20"/>
  <c r="S238" i="20"/>
  <c r="N238" i="20"/>
  <c r="M238" i="20"/>
  <c r="U237" i="20"/>
  <c r="T237" i="20"/>
  <c r="S237" i="20"/>
  <c r="N237" i="20"/>
  <c r="M237" i="20"/>
  <c r="U236" i="20"/>
  <c r="T236" i="20"/>
  <c r="S236" i="20"/>
  <c r="N236" i="20"/>
  <c r="M236" i="20"/>
  <c r="U235" i="20"/>
  <c r="T235" i="20"/>
  <c r="S235" i="20"/>
  <c r="N235" i="20"/>
  <c r="M235" i="20"/>
  <c r="U234" i="20"/>
  <c r="T234" i="20"/>
  <c r="S234" i="20"/>
  <c r="N234" i="20"/>
  <c r="M234" i="20"/>
  <c r="U233" i="20"/>
  <c r="T233" i="20"/>
  <c r="S233" i="20"/>
  <c r="N233" i="20"/>
  <c r="M233" i="20"/>
  <c r="U232" i="20"/>
  <c r="T232" i="20"/>
  <c r="S232" i="20"/>
  <c r="N232" i="20"/>
  <c r="M232" i="20"/>
  <c r="U231" i="20"/>
  <c r="T231" i="20"/>
  <c r="S231" i="20"/>
  <c r="N231" i="20"/>
  <c r="M231" i="20"/>
  <c r="U230" i="20"/>
  <c r="T230" i="20"/>
  <c r="S230" i="20"/>
  <c r="N230" i="20"/>
  <c r="M230" i="20"/>
  <c r="U229" i="20"/>
  <c r="T229" i="20"/>
  <c r="S229" i="20"/>
  <c r="N229" i="20"/>
  <c r="M229" i="20"/>
  <c r="U228" i="20"/>
  <c r="T228" i="20"/>
  <c r="S228" i="20"/>
  <c r="N228" i="20"/>
  <c r="M228" i="20"/>
  <c r="U227" i="20"/>
  <c r="T227" i="20"/>
  <c r="S227" i="20"/>
  <c r="N227" i="20"/>
  <c r="M227" i="20"/>
  <c r="U226" i="20"/>
  <c r="T226" i="20"/>
  <c r="S226" i="20"/>
  <c r="N226" i="20"/>
  <c r="M226" i="20"/>
  <c r="U225" i="20"/>
  <c r="T225" i="20"/>
  <c r="S225" i="20"/>
  <c r="N225" i="20"/>
  <c r="M225" i="20"/>
  <c r="U224" i="20"/>
  <c r="T224" i="20"/>
  <c r="S224" i="20"/>
  <c r="N224" i="20"/>
  <c r="M224" i="20"/>
  <c r="U223" i="20"/>
  <c r="T223" i="20"/>
  <c r="S223" i="20"/>
  <c r="N223" i="20"/>
  <c r="M223" i="20"/>
  <c r="U222" i="20"/>
  <c r="T222" i="20"/>
  <c r="S222" i="20"/>
  <c r="N222" i="20"/>
  <c r="M222" i="20"/>
  <c r="U221" i="20"/>
  <c r="T221" i="20"/>
  <c r="S221" i="20"/>
  <c r="N221" i="20"/>
  <c r="M221" i="20"/>
  <c r="U220" i="20"/>
  <c r="T220" i="20"/>
  <c r="S220" i="20"/>
  <c r="N220" i="20"/>
  <c r="M220" i="20"/>
  <c r="U219" i="20"/>
  <c r="T219" i="20"/>
  <c r="S219" i="20"/>
  <c r="N219" i="20"/>
  <c r="M219" i="20"/>
  <c r="U218" i="20"/>
  <c r="T218" i="20"/>
  <c r="S218" i="20"/>
  <c r="N218" i="20"/>
  <c r="M218" i="20"/>
  <c r="U217" i="20"/>
  <c r="T217" i="20"/>
  <c r="S217" i="20"/>
  <c r="N217" i="20"/>
  <c r="M217" i="20"/>
  <c r="U216" i="20"/>
  <c r="T216" i="20"/>
  <c r="S216" i="20"/>
  <c r="N216" i="20"/>
  <c r="M216" i="20"/>
  <c r="U215" i="20"/>
  <c r="T215" i="20"/>
  <c r="S215" i="20"/>
  <c r="N215" i="20"/>
  <c r="M215" i="20"/>
  <c r="U214" i="20"/>
  <c r="T214" i="20"/>
  <c r="S214" i="20"/>
  <c r="N214" i="20"/>
  <c r="M214" i="20"/>
  <c r="U213" i="20"/>
  <c r="T213" i="20"/>
  <c r="S213" i="20"/>
  <c r="N213" i="20"/>
  <c r="M213" i="20"/>
  <c r="U212" i="20"/>
  <c r="T212" i="20"/>
  <c r="S212" i="20"/>
  <c r="N212" i="20"/>
  <c r="M212" i="20"/>
  <c r="U211" i="20"/>
  <c r="T211" i="20"/>
  <c r="S211" i="20"/>
  <c r="N211" i="20"/>
  <c r="M211" i="20"/>
  <c r="U210" i="20"/>
  <c r="T210" i="20"/>
  <c r="S210" i="20"/>
  <c r="N210" i="20"/>
  <c r="M210" i="20"/>
  <c r="U209" i="20"/>
  <c r="T209" i="20"/>
  <c r="S209" i="20"/>
  <c r="N209" i="20"/>
  <c r="M209" i="20"/>
  <c r="U208" i="20"/>
  <c r="T208" i="20"/>
  <c r="S208" i="20"/>
  <c r="N208" i="20"/>
  <c r="M208" i="20"/>
  <c r="U207" i="20"/>
  <c r="T207" i="20"/>
  <c r="S207" i="20"/>
  <c r="N207" i="20"/>
  <c r="M207" i="20"/>
  <c r="U206" i="20"/>
  <c r="T206" i="20"/>
  <c r="S206" i="20"/>
  <c r="N206" i="20"/>
  <c r="M206" i="20"/>
  <c r="U205" i="20"/>
  <c r="T205" i="20"/>
  <c r="S205" i="20"/>
  <c r="N205" i="20"/>
  <c r="M205" i="20"/>
  <c r="U204" i="20"/>
  <c r="T204" i="20"/>
  <c r="S204" i="20"/>
  <c r="N204" i="20"/>
  <c r="M204" i="20"/>
  <c r="U203" i="20"/>
  <c r="T203" i="20"/>
  <c r="S203" i="20"/>
  <c r="N203" i="20"/>
  <c r="M203" i="20"/>
  <c r="U202" i="20"/>
  <c r="T202" i="20"/>
  <c r="S202" i="20"/>
  <c r="N202" i="20"/>
  <c r="M202" i="20"/>
  <c r="U201" i="20"/>
  <c r="T201" i="20"/>
  <c r="S201" i="20"/>
  <c r="N201" i="20"/>
  <c r="M201" i="20"/>
  <c r="U200" i="20"/>
  <c r="T200" i="20"/>
  <c r="S200" i="20"/>
  <c r="N200" i="20"/>
  <c r="M200" i="20"/>
  <c r="U199" i="20"/>
  <c r="T199" i="20"/>
  <c r="S199" i="20"/>
  <c r="N199" i="20"/>
  <c r="M199" i="20"/>
  <c r="U198" i="20"/>
  <c r="T198" i="20"/>
  <c r="S198" i="20"/>
  <c r="N198" i="20"/>
  <c r="M198" i="20"/>
  <c r="U197" i="20"/>
  <c r="T197" i="20"/>
  <c r="S197" i="20"/>
  <c r="N197" i="20"/>
  <c r="M197" i="20"/>
  <c r="U196" i="20"/>
  <c r="T196" i="20"/>
  <c r="S196" i="20"/>
  <c r="N196" i="20"/>
  <c r="M196" i="20"/>
  <c r="U195" i="20"/>
  <c r="T195" i="20"/>
  <c r="S195" i="20"/>
  <c r="N195" i="20"/>
  <c r="M195" i="20"/>
  <c r="U194" i="20"/>
  <c r="T194" i="20"/>
  <c r="S194" i="20"/>
  <c r="N194" i="20"/>
  <c r="M194" i="20"/>
  <c r="U193" i="20"/>
  <c r="T193" i="20"/>
  <c r="S193" i="20"/>
  <c r="N193" i="20"/>
  <c r="M193" i="20"/>
  <c r="U192" i="20"/>
  <c r="T192" i="20"/>
  <c r="S192" i="20"/>
  <c r="N192" i="20"/>
  <c r="M192" i="20"/>
  <c r="U191" i="20"/>
  <c r="T191" i="20"/>
  <c r="S191" i="20"/>
  <c r="N191" i="20"/>
  <c r="M191" i="20"/>
  <c r="U190" i="20"/>
  <c r="T190" i="20"/>
  <c r="S190" i="20"/>
  <c r="N190" i="20"/>
  <c r="M190" i="20"/>
  <c r="U189" i="20"/>
  <c r="T189" i="20"/>
  <c r="S189" i="20"/>
  <c r="N189" i="20"/>
  <c r="M189" i="20"/>
  <c r="U188" i="20"/>
  <c r="T188" i="20"/>
  <c r="S188" i="20"/>
  <c r="N188" i="20"/>
  <c r="M188" i="20"/>
  <c r="U187" i="20"/>
  <c r="T187" i="20"/>
  <c r="S187" i="20"/>
  <c r="N187" i="20"/>
  <c r="M187" i="20"/>
  <c r="U186" i="20"/>
  <c r="T186" i="20"/>
  <c r="S186" i="20"/>
  <c r="N186" i="20"/>
  <c r="M186" i="20"/>
  <c r="U185" i="20"/>
  <c r="T185" i="20"/>
  <c r="S185" i="20"/>
  <c r="N185" i="20"/>
  <c r="M185" i="20"/>
  <c r="U184" i="20"/>
  <c r="T184" i="20"/>
  <c r="S184" i="20"/>
  <c r="N184" i="20"/>
  <c r="M184" i="20"/>
  <c r="U183" i="20"/>
  <c r="T183" i="20"/>
  <c r="S183" i="20"/>
  <c r="N183" i="20"/>
  <c r="M183" i="20"/>
  <c r="U182" i="20"/>
  <c r="T182" i="20"/>
  <c r="S182" i="20"/>
  <c r="N182" i="20"/>
  <c r="M182" i="20"/>
  <c r="U181" i="20"/>
  <c r="T181" i="20"/>
  <c r="S181" i="20"/>
  <c r="N181" i="20"/>
  <c r="M181" i="20"/>
  <c r="U180" i="20"/>
  <c r="T180" i="20"/>
  <c r="S180" i="20"/>
  <c r="N180" i="20"/>
  <c r="M180" i="20"/>
  <c r="U179" i="20"/>
  <c r="T179" i="20"/>
  <c r="S179" i="20"/>
  <c r="N179" i="20"/>
  <c r="M179" i="20"/>
  <c r="U178" i="20"/>
  <c r="T178" i="20"/>
  <c r="S178" i="20"/>
  <c r="N178" i="20"/>
  <c r="M178" i="20"/>
  <c r="U177" i="20"/>
  <c r="T177" i="20"/>
  <c r="S177" i="20"/>
  <c r="N177" i="20"/>
  <c r="M177" i="20"/>
  <c r="U176" i="20"/>
  <c r="T176" i="20"/>
  <c r="S176" i="20"/>
  <c r="N176" i="20"/>
  <c r="M176" i="20"/>
  <c r="U175" i="20"/>
  <c r="T175" i="20"/>
  <c r="S175" i="20"/>
  <c r="N175" i="20"/>
  <c r="M175" i="20"/>
  <c r="U174" i="20"/>
  <c r="T174" i="20"/>
  <c r="S174" i="20"/>
  <c r="N174" i="20"/>
  <c r="M174" i="20"/>
  <c r="U173" i="20"/>
  <c r="T173" i="20"/>
  <c r="S173" i="20"/>
  <c r="N173" i="20"/>
  <c r="M173" i="20"/>
  <c r="U172" i="20"/>
  <c r="T172" i="20"/>
  <c r="S172" i="20"/>
  <c r="N172" i="20"/>
  <c r="M172" i="20"/>
  <c r="U171" i="20"/>
  <c r="T171" i="20"/>
  <c r="S171" i="20"/>
  <c r="N171" i="20"/>
  <c r="M171" i="20"/>
  <c r="U170" i="20"/>
  <c r="T170" i="20"/>
  <c r="S170" i="20"/>
  <c r="N170" i="20"/>
  <c r="M170" i="20"/>
  <c r="U169" i="20"/>
  <c r="T169" i="20"/>
  <c r="S169" i="20"/>
  <c r="N169" i="20"/>
  <c r="M169" i="20"/>
  <c r="U168" i="20"/>
  <c r="T168" i="20"/>
  <c r="S168" i="20"/>
  <c r="N168" i="20"/>
  <c r="M168" i="20"/>
  <c r="U167" i="20"/>
  <c r="T167" i="20"/>
  <c r="S167" i="20"/>
  <c r="N167" i="20"/>
  <c r="M167" i="20"/>
  <c r="U166" i="20"/>
  <c r="T166" i="20"/>
  <c r="S166" i="20"/>
  <c r="N166" i="20"/>
  <c r="M166" i="20"/>
  <c r="U165" i="20"/>
  <c r="T165" i="20"/>
  <c r="S165" i="20"/>
  <c r="N165" i="20"/>
  <c r="M165" i="20"/>
  <c r="U164" i="20"/>
  <c r="T164" i="20"/>
  <c r="S164" i="20"/>
  <c r="N164" i="20"/>
  <c r="M164" i="20"/>
  <c r="U163" i="20"/>
  <c r="T163" i="20"/>
  <c r="S163" i="20"/>
  <c r="N163" i="20"/>
  <c r="M163" i="20"/>
  <c r="U162" i="20"/>
  <c r="T162" i="20"/>
  <c r="S162" i="20"/>
  <c r="N162" i="20"/>
  <c r="M162" i="20"/>
  <c r="U161" i="20"/>
  <c r="T161" i="20"/>
  <c r="S161" i="20"/>
  <c r="N161" i="20"/>
  <c r="M161" i="20"/>
  <c r="U160" i="20"/>
  <c r="T160" i="20"/>
  <c r="S160" i="20"/>
  <c r="N160" i="20"/>
  <c r="M160" i="20"/>
  <c r="U159" i="20"/>
  <c r="T159" i="20"/>
  <c r="S159" i="20"/>
  <c r="N159" i="20"/>
  <c r="M159" i="20"/>
  <c r="U158" i="20"/>
  <c r="T158" i="20"/>
  <c r="S158" i="20"/>
  <c r="N158" i="20"/>
  <c r="M158" i="20"/>
  <c r="U157" i="20"/>
  <c r="T157" i="20"/>
  <c r="S157" i="20"/>
  <c r="N157" i="20"/>
  <c r="M157" i="20"/>
  <c r="U156" i="20"/>
  <c r="T156" i="20"/>
  <c r="S156" i="20"/>
  <c r="N156" i="20"/>
  <c r="M156" i="20"/>
  <c r="U155" i="20"/>
  <c r="T155" i="20"/>
  <c r="S155" i="20"/>
  <c r="N155" i="20"/>
  <c r="M155" i="20"/>
  <c r="U154" i="20"/>
  <c r="T154" i="20"/>
  <c r="S154" i="20"/>
  <c r="N154" i="20"/>
  <c r="M154" i="20"/>
  <c r="U153" i="20"/>
  <c r="T153" i="20"/>
  <c r="S153" i="20"/>
  <c r="N153" i="20"/>
  <c r="M153" i="20"/>
  <c r="U152" i="20"/>
  <c r="T152" i="20"/>
  <c r="S152" i="20"/>
  <c r="N152" i="20"/>
  <c r="M152" i="20"/>
  <c r="U151" i="20"/>
  <c r="T151" i="20"/>
  <c r="S151" i="20"/>
  <c r="N151" i="20"/>
  <c r="M151" i="20"/>
  <c r="U150" i="20"/>
  <c r="T150" i="20"/>
  <c r="S150" i="20"/>
  <c r="N150" i="20"/>
  <c r="M150" i="20"/>
  <c r="U149" i="20"/>
  <c r="T149" i="20"/>
  <c r="S149" i="20"/>
  <c r="N149" i="20"/>
  <c r="M149" i="20"/>
  <c r="U148" i="20"/>
  <c r="T148" i="20"/>
  <c r="S148" i="20"/>
  <c r="N148" i="20"/>
  <c r="M148" i="20"/>
  <c r="U147" i="20"/>
  <c r="T147" i="20"/>
  <c r="S147" i="20"/>
  <c r="N147" i="20"/>
  <c r="M147" i="20"/>
  <c r="U146" i="20"/>
  <c r="T146" i="20"/>
  <c r="S146" i="20"/>
  <c r="N146" i="20"/>
  <c r="M146" i="20"/>
  <c r="U145" i="20"/>
  <c r="T145" i="20"/>
  <c r="S145" i="20"/>
  <c r="N145" i="20"/>
  <c r="M145" i="20"/>
  <c r="U144" i="20"/>
  <c r="T144" i="20"/>
  <c r="S144" i="20"/>
  <c r="N144" i="20"/>
  <c r="M144" i="20"/>
  <c r="U143" i="20"/>
  <c r="T143" i="20"/>
  <c r="S143" i="20"/>
  <c r="N143" i="20"/>
  <c r="M143" i="20"/>
  <c r="U142" i="20"/>
  <c r="T142" i="20"/>
  <c r="S142" i="20"/>
  <c r="N142" i="20"/>
  <c r="M142" i="20"/>
  <c r="U141" i="20"/>
  <c r="T141" i="20"/>
  <c r="S141" i="20"/>
  <c r="N141" i="20"/>
  <c r="M141" i="20"/>
  <c r="U140" i="20"/>
  <c r="T140" i="20"/>
  <c r="S140" i="20"/>
  <c r="N140" i="20"/>
  <c r="M140" i="20"/>
  <c r="U139" i="20"/>
  <c r="T139" i="20"/>
  <c r="S139" i="20"/>
  <c r="N139" i="20"/>
  <c r="M139" i="20"/>
  <c r="U138" i="20"/>
  <c r="T138" i="20"/>
  <c r="S138" i="20"/>
  <c r="N138" i="20"/>
  <c r="M138" i="20"/>
  <c r="U137" i="20"/>
  <c r="T137" i="20"/>
  <c r="S137" i="20"/>
  <c r="N137" i="20"/>
  <c r="M137" i="20"/>
  <c r="U136" i="20"/>
  <c r="T136" i="20"/>
  <c r="S136" i="20"/>
  <c r="N136" i="20"/>
  <c r="M136" i="20"/>
  <c r="U135" i="20"/>
  <c r="T135" i="20"/>
  <c r="S135" i="20"/>
  <c r="N135" i="20"/>
  <c r="M135" i="20"/>
  <c r="U134" i="20"/>
  <c r="T134" i="20"/>
  <c r="S134" i="20"/>
  <c r="N134" i="20"/>
  <c r="M134" i="20"/>
  <c r="U133" i="20"/>
  <c r="T133" i="20"/>
  <c r="S133" i="20"/>
  <c r="N133" i="20"/>
  <c r="M133" i="20"/>
  <c r="U132" i="20"/>
  <c r="T132" i="20"/>
  <c r="S132" i="20"/>
  <c r="N132" i="20"/>
  <c r="M132" i="20"/>
  <c r="U131" i="20"/>
  <c r="T131" i="20"/>
  <c r="S131" i="20"/>
  <c r="N131" i="20"/>
  <c r="M131" i="20"/>
  <c r="U130" i="20"/>
  <c r="T130" i="20"/>
  <c r="S130" i="20"/>
  <c r="N130" i="20"/>
  <c r="M130" i="20"/>
  <c r="U129" i="20"/>
  <c r="T129" i="20"/>
  <c r="S129" i="20"/>
  <c r="N129" i="20"/>
  <c r="M129" i="20"/>
  <c r="U128" i="20"/>
  <c r="T128" i="20"/>
  <c r="S128" i="20"/>
  <c r="N128" i="20"/>
  <c r="M128" i="20"/>
  <c r="U127" i="20"/>
  <c r="T127" i="20"/>
  <c r="S127" i="20"/>
  <c r="N127" i="20"/>
  <c r="M127" i="20"/>
  <c r="U126" i="20"/>
  <c r="T126" i="20"/>
  <c r="S126" i="20"/>
  <c r="N126" i="20"/>
  <c r="M126" i="20"/>
  <c r="U125" i="20"/>
  <c r="T125" i="20"/>
  <c r="S125" i="20"/>
  <c r="N125" i="20"/>
  <c r="M125" i="20"/>
  <c r="U124" i="20"/>
  <c r="T124" i="20"/>
  <c r="S124" i="20"/>
  <c r="N124" i="20"/>
  <c r="M124" i="20"/>
  <c r="U123" i="20"/>
  <c r="T123" i="20"/>
  <c r="S123" i="20"/>
  <c r="N123" i="20"/>
  <c r="M123" i="20"/>
  <c r="U122" i="20"/>
  <c r="T122" i="20"/>
  <c r="S122" i="20"/>
  <c r="N122" i="20"/>
  <c r="M122" i="20"/>
  <c r="U121" i="20"/>
  <c r="T121" i="20"/>
  <c r="S121" i="20"/>
  <c r="N121" i="20"/>
  <c r="M121" i="20"/>
  <c r="U120" i="20"/>
  <c r="T120" i="20"/>
  <c r="S120" i="20"/>
  <c r="N120" i="20"/>
  <c r="M120" i="20"/>
  <c r="U119" i="20"/>
  <c r="T119" i="20"/>
  <c r="S119" i="20"/>
  <c r="N119" i="20"/>
  <c r="M119" i="20"/>
  <c r="U118" i="20"/>
  <c r="T118" i="20"/>
  <c r="S118" i="20"/>
  <c r="N118" i="20"/>
  <c r="M118" i="20"/>
  <c r="U117" i="20"/>
  <c r="T117" i="20"/>
  <c r="S117" i="20"/>
  <c r="N117" i="20"/>
  <c r="M117" i="20"/>
  <c r="U116" i="20"/>
  <c r="T116" i="20"/>
  <c r="S116" i="20"/>
  <c r="N116" i="20"/>
  <c r="M116" i="20"/>
  <c r="U115" i="20"/>
  <c r="T115" i="20"/>
  <c r="S115" i="20"/>
  <c r="N115" i="20"/>
  <c r="M115" i="20"/>
  <c r="U114" i="20"/>
  <c r="T114" i="20"/>
  <c r="S114" i="20"/>
  <c r="N114" i="20"/>
  <c r="M114" i="20"/>
  <c r="U113" i="20"/>
  <c r="T113" i="20"/>
  <c r="S113" i="20"/>
  <c r="N113" i="20"/>
  <c r="M113" i="20"/>
  <c r="U112" i="20"/>
  <c r="T112" i="20"/>
  <c r="S112" i="20"/>
  <c r="N112" i="20"/>
  <c r="M112" i="20"/>
  <c r="U111" i="20"/>
  <c r="T111" i="20"/>
  <c r="S111" i="20"/>
  <c r="N111" i="20"/>
  <c r="M111" i="20"/>
  <c r="U110" i="20"/>
  <c r="T110" i="20"/>
  <c r="S110" i="20"/>
  <c r="N110" i="20"/>
  <c r="M110" i="20"/>
  <c r="U109" i="20"/>
  <c r="T109" i="20"/>
  <c r="S109" i="20"/>
  <c r="N109" i="20"/>
  <c r="M109" i="20"/>
  <c r="U108" i="20"/>
  <c r="T108" i="20"/>
  <c r="S108" i="20"/>
  <c r="N108" i="20"/>
  <c r="M108" i="20"/>
  <c r="U107" i="20"/>
  <c r="T107" i="20"/>
  <c r="S107" i="20"/>
  <c r="N107" i="20"/>
  <c r="M107" i="20"/>
  <c r="U106" i="20"/>
  <c r="T106" i="20"/>
  <c r="S106" i="20"/>
  <c r="N106" i="20"/>
  <c r="M106" i="20"/>
  <c r="U105" i="20"/>
  <c r="T105" i="20"/>
  <c r="S105" i="20"/>
  <c r="N105" i="20"/>
  <c r="M105" i="20"/>
  <c r="U104" i="20"/>
  <c r="T104" i="20"/>
  <c r="S104" i="20"/>
  <c r="N104" i="20"/>
  <c r="M104" i="20"/>
  <c r="U103" i="20"/>
  <c r="T103" i="20"/>
  <c r="S103" i="20"/>
  <c r="N103" i="20"/>
  <c r="M103" i="20"/>
  <c r="U102" i="20"/>
  <c r="T102" i="20"/>
  <c r="S102" i="20"/>
  <c r="N102" i="20"/>
  <c r="M102" i="20"/>
  <c r="U101" i="20"/>
  <c r="T101" i="20"/>
  <c r="S101" i="20"/>
  <c r="N101" i="20"/>
  <c r="M101" i="20"/>
  <c r="U100" i="20"/>
  <c r="T100" i="20"/>
  <c r="S100" i="20"/>
  <c r="N100" i="20"/>
  <c r="M100" i="20"/>
  <c r="U99" i="20"/>
  <c r="T99" i="20"/>
  <c r="S99" i="20"/>
  <c r="N99" i="20"/>
  <c r="M99" i="20"/>
  <c r="U98" i="20"/>
  <c r="T98" i="20"/>
  <c r="S98" i="20"/>
  <c r="N98" i="20"/>
  <c r="M98" i="20"/>
  <c r="U97" i="20"/>
  <c r="T97" i="20"/>
  <c r="S97" i="20"/>
  <c r="N97" i="20"/>
  <c r="M97" i="20"/>
  <c r="U96" i="20"/>
  <c r="T96" i="20"/>
  <c r="S96" i="20"/>
  <c r="N96" i="20"/>
  <c r="M96" i="20"/>
  <c r="U95" i="20"/>
  <c r="T95" i="20"/>
  <c r="S95" i="20"/>
  <c r="N95" i="20"/>
  <c r="M95" i="20"/>
  <c r="U94" i="20"/>
  <c r="T94" i="20"/>
  <c r="S94" i="20"/>
  <c r="N94" i="20"/>
  <c r="M94" i="20"/>
  <c r="U93" i="20"/>
  <c r="T93" i="20"/>
  <c r="S93" i="20"/>
  <c r="N93" i="20"/>
  <c r="M93" i="20"/>
  <c r="U92" i="20"/>
  <c r="T92" i="20"/>
  <c r="S92" i="20"/>
  <c r="N92" i="20"/>
  <c r="M92" i="20"/>
  <c r="U91" i="20"/>
  <c r="T91" i="20"/>
  <c r="S91" i="20"/>
  <c r="N91" i="20"/>
  <c r="M91" i="20"/>
  <c r="U90" i="20"/>
  <c r="T90" i="20"/>
  <c r="S90" i="20"/>
  <c r="N90" i="20"/>
  <c r="M90" i="20"/>
  <c r="U89" i="20"/>
  <c r="T89" i="20"/>
  <c r="S89" i="20"/>
  <c r="N89" i="20"/>
  <c r="M89" i="20"/>
  <c r="U88" i="20"/>
  <c r="T88" i="20"/>
  <c r="S88" i="20"/>
  <c r="N88" i="20"/>
  <c r="M88" i="20"/>
  <c r="U87" i="20"/>
  <c r="T87" i="20"/>
  <c r="S87" i="20"/>
  <c r="N87" i="20"/>
  <c r="M87" i="20"/>
  <c r="U86" i="20"/>
  <c r="T86" i="20"/>
  <c r="S86" i="20"/>
  <c r="N86" i="20"/>
  <c r="M86" i="20"/>
  <c r="U85" i="20"/>
  <c r="T85" i="20"/>
  <c r="S85" i="20"/>
  <c r="N85" i="20"/>
  <c r="M85" i="20"/>
  <c r="U84" i="20"/>
  <c r="T84" i="20"/>
  <c r="S84" i="20"/>
  <c r="N84" i="20"/>
  <c r="M84" i="20"/>
  <c r="U83" i="20"/>
  <c r="T83" i="20"/>
  <c r="S83" i="20"/>
  <c r="N83" i="20"/>
  <c r="M83" i="20"/>
  <c r="U82" i="20"/>
  <c r="T82" i="20"/>
  <c r="S82" i="20"/>
  <c r="N82" i="20"/>
  <c r="M82" i="20"/>
  <c r="U81" i="20"/>
  <c r="T81" i="20"/>
  <c r="S81" i="20"/>
  <c r="N81" i="20"/>
  <c r="M81" i="20"/>
  <c r="U80" i="20"/>
  <c r="T80" i="20"/>
  <c r="S80" i="20"/>
  <c r="N80" i="20"/>
  <c r="M80" i="20"/>
  <c r="U79" i="20"/>
  <c r="T79" i="20"/>
  <c r="S79" i="20"/>
  <c r="N79" i="20"/>
  <c r="M79" i="20"/>
  <c r="U78" i="20"/>
  <c r="T78" i="20"/>
  <c r="S78" i="20"/>
  <c r="N78" i="20"/>
  <c r="M78" i="20"/>
  <c r="U77" i="20"/>
  <c r="T77" i="20"/>
  <c r="S77" i="20"/>
  <c r="N77" i="20"/>
  <c r="M77" i="20"/>
  <c r="U76" i="20"/>
  <c r="T76" i="20"/>
  <c r="S76" i="20"/>
  <c r="N76" i="20"/>
  <c r="M76" i="20"/>
  <c r="U75" i="20"/>
  <c r="T75" i="20"/>
  <c r="S75" i="20"/>
  <c r="N75" i="20"/>
  <c r="M75" i="20"/>
  <c r="U74" i="20"/>
  <c r="T74" i="20"/>
  <c r="S74" i="20"/>
  <c r="N74" i="20"/>
  <c r="M74" i="20"/>
  <c r="U73" i="20"/>
  <c r="T73" i="20"/>
  <c r="S73" i="20"/>
  <c r="N73" i="20"/>
  <c r="M73" i="20"/>
  <c r="U72" i="20"/>
  <c r="T72" i="20"/>
  <c r="S72" i="20"/>
  <c r="N72" i="20"/>
  <c r="M72" i="20"/>
  <c r="U71" i="20"/>
  <c r="T71" i="20"/>
  <c r="S71" i="20"/>
  <c r="N71" i="20"/>
  <c r="M71" i="20"/>
  <c r="U70" i="20"/>
  <c r="T70" i="20"/>
  <c r="S70" i="20"/>
  <c r="N70" i="20"/>
  <c r="M70" i="20"/>
  <c r="U69" i="20"/>
  <c r="T69" i="20"/>
  <c r="S69" i="20"/>
  <c r="N69" i="20"/>
  <c r="M69" i="20"/>
  <c r="U68" i="20"/>
  <c r="T68" i="20"/>
  <c r="S68" i="20"/>
  <c r="N68" i="20"/>
  <c r="M68" i="20"/>
  <c r="U67" i="20"/>
  <c r="T67" i="20"/>
  <c r="S67" i="20"/>
  <c r="N67" i="20"/>
  <c r="M67" i="20"/>
  <c r="U66" i="20"/>
  <c r="T66" i="20"/>
  <c r="S66" i="20"/>
  <c r="N66" i="20"/>
  <c r="M66" i="20"/>
  <c r="U65" i="20"/>
  <c r="T65" i="20"/>
  <c r="S65" i="20"/>
  <c r="N65" i="20"/>
  <c r="M65" i="20"/>
  <c r="U64" i="20"/>
  <c r="T64" i="20"/>
  <c r="S64" i="20"/>
  <c r="N64" i="20"/>
  <c r="M64" i="20"/>
  <c r="U63" i="20"/>
  <c r="T63" i="20"/>
  <c r="S63" i="20"/>
  <c r="N63" i="20"/>
  <c r="M63" i="20"/>
  <c r="U62" i="20"/>
  <c r="T62" i="20"/>
  <c r="S62" i="20"/>
  <c r="N62" i="20"/>
  <c r="M62" i="20"/>
  <c r="U61" i="20"/>
  <c r="T61" i="20"/>
  <c r="S61" i="20"/>
  <c r="N61" i="20"/>
  <c r="M61" i="20"/>
  <c r="U60" i="20"/>
  <c r="T60" i="20"/>
  <c r="S60" i="20"/>
  <c r="N60" i="20"/>
  <c r="M60" i="20"/>
  <c r="U59" i="20"/>
  <c r="T59" i="20"/>
  <c r="S59" i="20"/>
  <c r="N59" i="20"/>
  <c r="M59" i="20"/>
  <c r="U58" i="20"/>
  <c r="T58" i="20"/>
  <c r="S58" i="20"/>
  <c r="N58" i="20"/>
  <c r="M58" i="20"/>
  <c r="U57" i="20"/>
  <c r="T57" i="20"/>
  <c r="S57" i="20"/>
  <c r="N57" i="20"/>
  <c r="M57" i="20"/>
  <c r="U56" i="20"/>
  <c r="T56" i="20"/>
  <c r="S56" i="20"/>
  <c r="N56" i="20"/>
  <c r="M56" i="20"/>
  <c r="U55" i="20"/>
  <c r="T55" i="20"/>
  <c r="S55" i="20"/>
  <c r="N55" i="20"/>
  <c r="M55" i="20"/>
  <c r="U54" i="20"/>
  <c r="T54" i="20"/>
  <c r="S54" i="20"/>
  <c r="N54" i="20"/>
  <c r="M54" i="20"/>
  <c r="U53" i="20"/>
  <c r="T53" i="20"/>
  <c r="S53" i="20"/>
  <c r="N53" i="20"/>
  <c r="M53" i="20"/>
  <c r="U52" i="20"/>
  <c r="T52" i="20"/>
  <c r="S52" i="20"/>
  <c r="N52" i="20"/>
  <c r="M52" i="20"/>
  <c r="U51" i="20"/>
  <c r="T51" i="20"/>
  <c r="S51" i="20"/>
  <c r="N51" i="20"/>
  <c r="M51" i="20"/>
  <c r="U50" i="20"/>
  <c r="T50" i="20"/>
  <c r="S50" i="20"/>
  <c r="N50" i="20"/>
  <c r="M50" i="20"/>
  <c r="U49" i="20"/>
  <c r="T49" i="20"/>
  <c r="S49" i="20"/>
  <c r="N49" i="20"/>
  <c r="M49" i="20"/>
  <c r="U48" i="20"/>
  <c r="T48" i="20"/>
  <c r="S48" i="20"/>
  <c r="N48" i="20"/>
  <c r="M48" i="20"/>
  <c r="U47" i="20"/>
  <c r="T47" i="20"/>
  <c r="S47" i="20"/>
  <c r="N47" i="20"/>
  <c r="M47" i="20"/>
  <c r="U46" i="20"/>
  <c r="T46" i="20"/>
  <c r="S46" i="20"/>
  <c r="N46" i="20"/>
  <c r="M46" i="20"/>
  <c r="U45" i="20"/>
  <c r="T45" i="20"/>
  <c r="S45" i="20"/>
  <c r="N45" i="20"/>
  <c r="M45" i="20"/>
  <c r="U44" i="20"/>
  <c r="T44" i="20"/>
  <c r="S44" i="20"/>
  <c r="N44" i="20"/>
  <c r="M44" i="20"/>
  <c r="U43" i="20"/>
  <c r="T43" i="20"/>
  <c r="S43" i="20"/>
  <c r="N43" i="20"/>
  <c r="M43" i="20"/>
  <c r="U42" i="20"/>
  <c r="T42" i="20"/>
  <c r="S42" i="20"/>
  <c r="N42" i="20"/>
  <c r="M42" i="20"/>
  <c r="U41" i="20"/>
  <c r="T41" i="20"/>
  <c r="S41" i="20"/>
  <c r="N41" i="20"/>
  <c r="M41" i="20"/>
  <c r="U40" i="20"/>
  <c r="T40" i="20"/>
  <c r="S40" i="20"/>
  <c r="N40" i="20"/>
  <c r="M40" i="20"/>
  <c r="U39" i="20"/>
  <c r="T39" i="20"/>
  <c r="S39" i="20"/>
  <c r="N39" i="20"/>
  <c r="M39" i="20"/>
  <c r="U38" i="20"/>
  <c r="T38" i="20"/>
  <c r="S38" i="20"/>
  <c r="N38" i="20"/>
  <c r="M38" i="20"/>
  <c r="U37" i="20"/>
  <c r="T37" i="20"/>
  <c r="S37" i="20"/>
  <c r="N37" i="20"/>
  <c r="M37" i="20"/>
  <c r="U36" i="20"/>
  <c r="T36" i="20"/>
  <c r="S36" i="20"/>
  <c r="N36" i="20"/>
  <c r="M36" i="20"/>
  <c r="U35" i="20"/>
  <c r="T35" i="20"/>
  <c r="S35" i="20"/>
  <c r="N35" i="20"/>
  <c r="M35" i="20"/>
  <c r="U34" i="20"/>
  <c r="T34" i="20"/>
  <c r="S34" i="20"/>
  <c r="N34" i="20"/>
  <c r="M34" i="20"/>
  <c r="U33" i="20"/>
  <c r="T33" i="20"/>
  <c r="S33" i="20"/>
  <c r="N33" i="20"/>
  <c r="M33" i="20"/>
  <c r="U32" i="20"/>
  <c r="T32" i="20"/>
  <c r="S32" i="20"/>
  <c r="N32" i="20"/>
  <c r="M32" i="20"/>
  <c r="U31" i="20"/>
  <c r="T31" i="20"/>
  <c r="S31" i="20"/>
  <c r="N31" i="20"/>
  <c r="M31" i="20"/>
  <c r="U30" i="20"/>
  <c r="T30" i="20"/>
  <c r="S30" i="20"/>
  <c r="N30" i="20"/>
  <c r="M30" i="20"/>
  <c r="U29" i="20"/>
  <c r="T29" i="20"/>
  <c r="S29" i="20"/>
  <c r="N29" i="20"/>
  <c r="M29" i="20"/>
  <c r="U28" i="20"/>
  <c r="T28" i="20"/>
  <c r="S28" i="20"/>
  <c r="N28" i="20"/>
  <c r="M28" i="20"/>
  <c r="U27" i="20"/>
  <c r="T27" i="20"/>
  <c r="S27" i="20"/>
  <c r="N27" i="20"/>
  <c r="M27" i="20"/>
  <c r="U26" i="20"/>
  <c r="T26" i="20"/>
  <c r="S26" i="20"/>
  <c r="N26" i="20"/>
  <c r="M26" i="20"/>
  <c r="U25" i="20"/>
  <c r="T25" i="20"/>
  <c r="S25" i="20"/>
  <c r="N25" i="20"/>
  <c r="M25" i="20"/>
  <c r="U24" i="20"/>
  <c r="T24" i="20"/>
  <c r="S24" i="20"/>
  <c r="N24" i="20"/>
  <c r="M24" i="20"/>
  <c r="U23" i="20"/>
  <c r="T23" i="20"/>
  <c r="S23" i="20"/>
  <c r="N23" i="20"/>
  <c r="M23" i="20"/>
  <c r="U22" i="20"/>
  <c r="T22" i="20"/>
  <c r="S22" i="20"/>
  <c r="N22" i="20"/>
  <c r="M22" i="20"/>
  <c r="U21" i="20"/>
  <c r="T21" i="20"/>
  <c r="S21" i="20"/>
  <c r="N21" i="20"/>
  <c r="M21" i="20"/>
  <c r="U20" i="20"/>
  <c r="T20" i="20"/>
  <c r="S20" i="20"/>
  <c r="N20" i="20"/>
  <c r="M20" i="20"/>
  <c r="U19" i="20"/>
  <c r="T19" i="20"/>
  <c r="S19" i="20"/>
  <c r="N19" i="20"/>
  <c r="M19" i="20"/>
  <c r="U18" i="20"/>
  <c r="T18" i="20"/>
  <c r="S18" i="20"/>
  <c r="N18" i="20"/>
  <c r="M18" i="20"/>
  <c r="U17" i="20"/>
  <c r="T17" i="20"/>
  <c r="S17" i="20"/>
  <c r="N17" i="20"/>
  <c r="M17" i="20"/>
  <c r="U16" i="20"/>
  <c r="T16" i="20"/>
  <c r="S16" i="20"/>
  <c r="N16" i="20"/>
  <c r="M16" i="20"/>
  <c r="U15" i="20"/>
  <c r="T15" i="20"/>
  <c r="S15" i="20"/>
  <c r="N15" i="20"/>
  <c r="M15" i="20"/>
  <c r="U14" i="20"/>
  <c r="T14" i="20"/>
  <c r="S14" i="20"/>
  <c r="N14" i="20"/>
  <c r="M14" i="20"/>
  <c r="U13" i="20"/>
  <c r="T13" i="20"/>
  <c r="S13" i="20"/>
  <c r="N13" i="20"/>
  <c r="M13" i="20"/>
  <c r="U12" i="20"/>
  <c r="T12" i="20"/>
  <c r="S12" i="20"/>
  <c r="N12" i="20"/>
  <c r="M12" i="20"/>
  <c r="U11" i="20"/>
  <c r="T11" i="20"/>
  <c r="S11" i="20"/>
  <c r="N11" i="20"/>
  <c r="M11" i="20"/>
  <c r="U10" i="20"/>
  <c r="T10" i="20"/>
  <c r="S10" i="20"/>
  <c r="N10" i="20"/>
  <c r="M10" i="20"/>
  <c r="U9" i="20"/>
  <c r="T9" i="20"/>
  <c r="S9" i="20"/>
  <c r="N9" i="20"/>
  <c r="M9" i="20"/>
  <c r="U8" i="20"/>
  <c r="T8" i="20"/>
  <c r="S8" i="20"/>
  <c r="N8" i="20"/>
  <c r="M8" i="20"/>
  <c r="U7" i="20"/>
  <c r="T7" i="20"/>
  <c r="S7" i="20"/>
  <c r="N7" i="20"/>
  <c r="M7"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E41" i="10"/>
  <c r="B42" i="10"/>
  <c r="E42" i="10"/>
  <c r="B43" i="10"/>
  <c r="E43" i="10"/>
  <c r="B44" i="10"/>
  <c r="E44" i="10"/>
  <c r="B45" i="10"/>
  <c r="E45" i="10"/>
  <c r="B46" i="10"/>
  <c r="E46" i="10"/>
  <c r="B47" i="10"/>
  <c r="E47" i="10"/>
  <c r="B48" i="10"/>
  <c r="E48" i="10"/>
  <c r="B49" i="10"/>
  <c r="E49" i="10"/>
  <c r="B50" i="10"/>
  <c r="E50" i="10"/>
  <c r="B51" i="10"/>
  <c r="E51" i="10"/>
  <c r="B52" i="10"/>
  <c r="E52" i="10"/>
  <c r="B53" i="10"/>
  <c r="E53" i="10"/>
  <c r="B54" i="10"/>
  <c r="E54" i="10"/>
  <c r="B55" i="10"/>
  <c r="E55" i="10"/>
  <c r="B56" i="10"/>
  <c r="E56" i="10"/>
  <c r="B57" i="10"/>
  <c r="E57" i="10"/>
  <c r="B58" i="10"/>
  <c r="E58" i="10"/>
  <c r="B59" i="10"/>
  <c r="E59" i="10"/>
  <c r="B60" i="10"/>
  <c r="E60" i="10"/>
  <c r="B61" i="10"/>
  <c r="E61" i="10"/>
  <c r="B62" i="10"/>
  <c r="E62" i="10"/>
  <c r="B63" i="10"/>
  <c r="E63" i="10"/>
  <c r="B64" i="10"/>
  <c r="E64" i="10"/>
  <c r="B65" i="10"/>
  <c r="E65" i="10"/>
  <c r="B66" i="10"/>
  <c r="E66" i="10"/>
  <c r="B67" i="10"/>
  <c r="E67" i="10"/>
  <c r="B68" i="10"/>
  <c r="E68" i="10"/>
  <c r="B69" i="10"/>
  <c r="E69" i="10"/>
  <c r="B70" i="10"/>
  <c r="E70" i="10"/>
  <c r="B71" i="10"/>
  <c r="E71" i="10"/>
  <c r="B72" i="10"/>
  <c r="E72" i="10"/>
  <c r="B73" i="10"/>
  <c r="E73" i="10"/>
  <c r="B74" i="10"/>
  <c r="E74" i="10"/>
  <c r="B75" i="10"/>
  <c r="E75" i="10"/>
  <c r="B76" i="10"/>
  <c r="E76" i="10"/>
  <c r="B77" i="10"/>
  <c r="E77" i="10"/>
  <c r="B78" i="10"/>
  <c r="E78" i="10"/>
  <c r="B79" i="10"/>
  <c r="E79" i="10"/>
  <c r="B80" i="10"/>
  <c r="E80" i="10"/>
  <c r="B81" i="10"/>
  <c r="E81" i="10"/>
  <c r="B82" i="10"/>
  <c r="E82" i="10"/>
  <c r="B83" i="10"/>
  <c r="E83" i="10"/>
  <c r="B84" i="10"/>
  <c r="E84" i="10"/>
  <c r="B85" i="10"/>
  <c r="E85" i="10"/>
  <c r="B86" i="10"/>
  <c r="E86" i="10"/>
  <c r="B87" i="10"/>
  <c r="E87" i="10"/>
  <c r="B88" i="10"/>
  <c r="E88" i="10"/>
  <c r="B89" i="10"/>
  <c r="E89" i="10"/>
  <c r="B90" i="10"/>
  <c r="E90" i="10"/>
  <c r="B91" i="10"/>
  <c r="E91" i="10"/>
  <c r="B92" i="10"/>
  <c r="E92" i="10"/>
  <c r="B93" i="10"/>
  <c r="E93" i="10"/>
  <c r="B94" i="10"/>
  <c r="E94" i="10"/>
  <c r="B95" i="10"/>
  <c r="E95" i="10"/>
  <c r="B96" i="10"/>
  <c r="E96" i="10"/>
  <c r="B97" i="10"/>
  <c r="E97" i="10"/>
  <c r="B98" i="10"/>
  <c r="E98" i="10"/>
  <c r="B99" i="10"/>
  <c r="E99" i="10"/>
  <c r="B100" i="10"/>
  <c r="E100" i="10"/>
  <c r="B101" i="10"/>
  <c r="E101" i="10"/>
  <c r="B102" i="10"/>
  <c r="E102" i="10"/>
  <c r="B103" i="10"/>
  <c r="E103" i="10"/>
  <c r="B104" i="10"/>
  <c r="E104" i="10"/>
  <c r="B105" i="10"/>
  <c r="E105" i="10"/>
  <c r="B106" i="10"/>
  <c r="E106" i="10"/>
  <c r="B107" i="10"/>
  <c r="E107" i="10"/>
  <c r="B108" i="10"/>
  <c r="E108" i="10"/>
  <c r="B109" i="10"/>
  <c r="E109" i="10"/>
  <c r="B110" i="10"/>
  <c r="E110" i="10"/>
  <c r="B111" i="10"/>
  <c r="E111" i="10"/>
  <c r="B112" i="10"/>
  <c r="E112" i="10"/>
  <c r="B113" i="10"/>
  <c r="E113" i="10"/>
  <c r="B114" i="10"/>
  <c r="E114" i="10"/>
  <c r="B115" i="10"/>
  <c r="E115" i="10"/>
  <c r="B116" i="10"/>
  <c r="E116" i="10"/>
  <c r="B117" i="10"/>
  <c r="E117" i="10"/>
  <c r="B118" i="10"/>
  <c r="E118" i="10"/>
  <c r="B119" i="10"/>
  <c r="E119" i="10"/>
  <c r="B120" i="10"/>
  <c r="E120" i="10"/>
  <c r="B121" i="10"/>
  <c r="E121" i="10"/>
  <c r="B122" i="10"/>
  <c r="E122" i="10"/>
  <c r="B123" i="10"/>
  <c r="E123" i="10"/>
  <c r="B124" i="10"/>
  <c r="E124" i="10"/>
  <c r="B125" i="10"/>
  <c r="E125" i="10"/>
  <c r="B126" i="10"/>
  <c r="E126" i="10"/>
  <c r="B127" i="10"/>
  <c r="E127" i="10"/>
  <c r="B128" i="10"/>
  <c r="E128" i="10"/>
  <c r="B129" i="10"/>
  <c r="E129" i="10"/>
  <c r="B130" i="10"/>
  <c r="E130" i="10"/>
  <c r="B131" i="10"/>
  <c r="E131" i="10"/>
  <c r="B132" i="10"/>
  <c r="E132" i="10"/>
  <c r="B133" i="10"/>
  <c r="E133" i="10"/>
  <c r="B134" i="10"/>
  <c r="E134" i="10"/>
  <c r="B135" i="10"/>
  <c r="E135" i="10"/>
  <c r="B136" i="10"/>
  <c r="E136" i="10"/>
  <c r="B137" i="10"/>
  <c r="E137" i="10"/>
  <c r="B138" i="10"/>
  <c r="E138" i="10"/>
  <c r="B139" i="10"/>
  <c r="E139" i="10"/>
  <c r="B140" i="10"/>
  <c r="E140" i="10"/>
  <c r="B141" i="10"/>
  <c r="E141" i="10"/>
  <c r="B142" i="10"/>
  <c r="E142" i="10"/>
  <c r="B143" i="10"/>
  <c r="E143" i="10"/>
  <c r="B144" i="10"/>
  <c r="E144" i="10"/>
  <c r="B145" i="10"/>
  <c r="E145" i="10"/>
  <c r="B146" i="10"/>
  <c r="E146" i="10"/>
  <c r="B147" i="10"/>
  <c r="E147" i="10"/>
  <c r="B148" i="10"/>
  <c r="E148" i="10"/>
  <c r="B149" i="10"/>
  <c r="E149" i="10"/>
  <c r="B150" i="10"/>
  <c r="E150" i="10"/>
  <c r="B151" i="10"/>
  <c r="E151" i="10"/>
  <c r="B152" i="10"/>
  <c r="E152" i="10"/>
  <c r="B153" i="10"/>
  <c r="E153" i="10"/>
  <c r="B154" i="10"/>
  <c r="E154" i="10"/>
  <c r="B155" i="10"/>
  <c r="E155" i="10"/>
  <c r="B156" i="10"/>
  <c r="E156" i="10"/>
  <c r="B157" i="10"/>
  <c r="E157" i="10"/>
  <c r="B158" i="10"/>
  <c r="E158" i="10"/>
  <c r="B159" i="10"/>
  <c r="E159" i="10"/>
  <c r="B160" i="10"/>
  <c r="E160" i="10"/>
  <c r="B161" i="10"/>
  <c r="E161" i="10"/>
  <c r="B162" i="10"/>
  <c r="E162" i="10"/>
  <c r="B163" i="10"/>
  <c r="E163" i="10"/>
  <c r="B164" i="10"/>
  <c r="E164" i="10"/>
  <c r="B165" i="10"/>
  <c r="E165" i="10"/>
  <c r="B166" i="10"/>
  <c r="E166" i="10"/>
  <c r="B167" i="10"/>
  <c r="E167" i="10"/>
  <c r="B168" i="10"/>
  <c r="E168" i="10"/>
  <c r="B169" i="10"/>
  <c r="E169" i="10"/>
  <c r="B170" i="10"/>
  <c r="E170" i="10"/>
  <c r="B171" i="10"/>
  <c r="E171" i="10"/>
  <c r="B172" i="10"/>
  <c r="E172" i="10"/>
  <c r="B173" i="10"/>
  <c r="E173" i="10"/>
  <c r="B174" i="10"/>
  <c r="E174" i="10"/>
  <c r="B175" i="10"/>
  <c r="E175" i="10"/>
  <c r="B176" i="10"/>
  <c r="E176" i="10"/>
  <c r="B177" i="10"/>
  <c r="E177" i="10"/>
  <c r="B178" i="10"/>
  <c r="E178" i="10"/>
  <c r="B179" i="10"/>
  <c r="E179" i="10"/>
  <c r="B180" i="10"/>
  <c r="E180" i="10"/>
  <c r="B181" i="10"/>
  <c r="E181" i="10"/>
  <c r="B182" i="10"/>
  <c r="E182" i="10"/>
  <c r="B183" i="10"/>
  <c r="E183" i="10"/>
  <c r="B184" i="10"/>
  <c r="E184" i="10"/>
  <c r="B185" i="10"/>
  <c r="E185" i="10"/>
  <c r="B186" i="10"/>
  <c r="E186" i="10"/>
  <c r="B187" i="10"/>
  <c r="E187" i="10"/>
  <c r="B188" i="10"/>
  <c r="E188" i="10"/>
  <c r="B189" i="10"/>
  <c r="E189" i="10"/>
  <c r="B190" i="10"/>
  <c r="E190" i="10"/>
  <c r="B191" i="10"/>
  <c r="E191" i="10"/>
  <c r="B192" i="10"/>
  <c r="E192" i="10"/>
  <c r="B193" i="10"/>
  <c r="E193" i="10"/>
  <c r="B194" i="10"/>
  <c r="E194" i="10"/>
  <c r="B195" i="10"/>
  <c r="E195" i="10"/>
  <c r="B196" i="10"/>
  <c r="E196" i="10"/>
  <c r="B197" i="10"/>
  <c r="E197" i="10"/>
  <c r="B198" i="10"/>
  <c r="B199" i="10"/>
  <c r="B200" i="10"/>
  <c r="B201" i="10"/>
  <c r="B202" i="10"/>
  <c r="B203" i="10"/>
  <c r="B204" i="10"/>
  <c r="B205" i="10"/>
  <c r="B206" i="10"/>
  <c r="B207" i="10"/>
  <c r="B208" i="10"/>
  <c r="B209" i="10"/>
  <c r="B210" i="10"/>
  <c r="B211" i="10"/>
  <c r="B212" i="10"/>
  <c r="B213" i="10"/>
  <c r="B214" i="10"/>
  <c r="B215" i="10"/>
  <c r="B216" i="10"/>
  <c r="B217" i="10"/>
  <c r="B218" i="10"/>
  <c r="B219"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D7" i="10"/>
  <c r="D6"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C29" i="10"/>
  <c r="C6" i="10"/>
  <c r="C7" i="10"/>
  <c r="C8" i="10"/>
  <c r="C9" i="10"/>
  <c r="C10" i="10"/>
  <c r="C11" i="10"/>
  <c r="C12" i="10"/>
  <c r="C13" i="10"/>
  <c r="C14" i="10"/>
  <c r="C15" i="10"/>
  <c r="C16" i="10"/>
  <c r="C17" i="10"/>
  <c r="C18" i="10"/>
  <c r="C19" i="10"/>
  <c r="C20" i="10"/>
  <c r="C21" i="10"/>
  <c r="C22" i="10"/>
  <c r="C23" i="10"/>
  <c r="C24" i="10"/>
  <c r="C25" i="10"/>
  <c r="C26" i="10"/>
  <c r="C27" i="10"/>
  <c r="C28"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<sst xmlns="http://schemas.openxmlformats.org/spreadsheetml/2006/main" count="4123" uniqueCount="1572">
  <si>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</si>
  <si>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</si>
  <si>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</si>
  <si>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</si>
  <si>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</si>
  <si>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</si>
  <si>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</si>
  <si>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</si>
  <si>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</si>
  <si>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</si>
  <si>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</si>
  <si>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</si>
  <si>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</si>
  <si>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</si>
  <si>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</si>
  <si>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</si>
  <si>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</si>
  <si>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</si>
  <si>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</si>
  <si>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</si>
  <si>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</si>
  <si>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</si>
  <si>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</si>
  <si>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</si>
  <si>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</si>
  <si>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</si>
  <si>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</si>
  <si>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</si>
  <si>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</si>
  <si>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</si>
  <si>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</si>
  <si>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</si>
  <si>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</si>
  <si>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</si>
  <si>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</si>
  <si>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</si>
  <si>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</si>
  <si>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</si>
  <si>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</si>
  <si>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</si>
  <si>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</si>
  <si>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</si>
  <si>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</si>
  <si>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</si>
  <si>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</si>
  <si>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</si>
  <si>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</si>
  <si>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</si>
  <si>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</si>
  <si>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</si>
  <si>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</si>
  <si>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</si>
  <si>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</si>
  <si>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</si>
  <si>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</si>
  <si>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</si>
  <si>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</si>
  <si>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</si>
  <si>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</si>
  <si>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</si>
  <si>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</si>
  <si>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</si>
  <si>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</si>
  <si>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</si>
  <si>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</si>
  <si>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</si>
  <si>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</si>
  <si>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</si>
  <si>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</si>
  <si>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</si>
  <si>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</si>
  <si>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</si>
  <si>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</si>
  <si>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</si>
  <si>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</si>
  <si>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</si>
  <si>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</si>
  <si>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</si>
  <si>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</si>
  <si>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</si>
  <si>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</si>
  <si>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</si>
  <si>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</si>
  <si>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</si>
  <si>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</si>
  <si>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</si>
  <si>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</si>
  <si>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</si>
  <si>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</si>
  <si>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</si>
  <si>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</si>
  <si>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</si>
  <si>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</si>
  <si>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</si>
  <si>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</si>
  <si>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</si>
  <si>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</si>
  <si>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</si>
  <si>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</si>
  <si>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</si>
  <si>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</si>
  <si>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</si>
  <si>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</si>
  <si>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</si>
  <si>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</si>
  <si>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</si>
  <si>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</si>
  <si>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</si>
  <si>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</si>
  <si>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</si>
  <si>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</si>
  <si>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</si>
  <si>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</si>
  <si>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</si>
  <si>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</si>
  <si>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</si>
  <si>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</si>
  <si>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</si>
  <si>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</si>
  <si>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</si>
  <si>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</si>
  <si>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</si>
  <si>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</si>
  <si>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</si>
  <si>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</si>
  <si>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</si>
  <si>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</si>
  <si>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</si>
  <si>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</si>
  <si>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</si>
  <si>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</si>
  <si>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</si>
  <si>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</si>
  <si>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</si>
  <si>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</si>
  <si>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</si>
  <si>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</si>
  <si>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</si>
  <si>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</si>
  <si>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</si>
  <si>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</si>
  <si>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</si>
  <si>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</si>
  <si>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</si>
  <si>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</si>
  <si>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</si>
  <si>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</si>
  <si>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</si>
  <si>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</si>
  <si>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</si>
  <si>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</si>
  <si>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</si>
  <si>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</si>
  <si>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</si>
  <si>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</si>
  <si>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</si>
  <si>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</si>
  <si>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</si>
  <si>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</si>
  <si>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</si>
  <si>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</si>
  <si>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</si>
  <si>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</si>
  <si>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</si>
  <si>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</si>
  <si>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</si>
  <si>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</si>
  <si>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</si>
  <si>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</si>
  <si>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</si>
  <si>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</si>
  <si>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</si>
  <si>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</si>
  <si>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</si>
  <si>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</si>
  <si>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</si>
  <si>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</si>
  <si>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</si>
  <si>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</si>
  <si>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</si>
  <si>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</si>
  <si>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</si>
  <si>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</si>
  <si>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</si>
  <si>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</si>
  <si>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</si>
  <si>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</si>
  <si>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</si>
  <si>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</si>
  <si>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</si>
  <si>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</si>
  <si>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</si>
  <si>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</si>
  <si>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</si>
  <si>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</si>
  <si>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</si>
  <si>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</si>
  <si>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</si>
  <si>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</si>
  <si>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</si>
  <si>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</si>
  <si>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</si>
  <si>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</si>
  <si>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</si>
  <si>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</si>
  <si>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</si>
  <si>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</si>
  <si>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</si>
  <si>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</si>
  <si>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</si>
  <si>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</si>
  <si>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</si>
  <si>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</si>
  <si>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</si>
  <si>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</si>
  <si>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</si>
  <si>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</si>
  <si>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</si>
  <si>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</si>
  <si>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</si>
  <si>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</si>
  <si>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</si>
  <si>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</si>
  <si>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</si>
  <si>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</si>
  <si>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</si>
  <si>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</si>
  <si>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</si>
  <si>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</si>
  <si>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</si>
  <si>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</si>
  <si>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</si>
  <si>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</si>
  <si>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</si>
  <si>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</si>
  <si>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</si>
  <si>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</si>
  <si>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</si>
  <si>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</si>
  <si>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</si>
  <si>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</si>
  <si>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</si>
  <si>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</si>
  <si>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</si>
  <si>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</si>
  <si>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</si>
  <si>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</si>
  <si>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</si>
  <si>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</si>
  <si>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</si>
  <si>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</si>
  <si>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</si>
  <si>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</si>
  <si>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</si>
  <si>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</si>
  <si>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</si>
  <si>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</si>
  <si>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</si>
  <si>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</si>
  <si>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</si>
  <si>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</si>
  <si>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</si>
  <si>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</si>
  <si>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</si>
  <si>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</si>
  <si>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</si>
  <si>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</si>
  <si>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</si>
  <si>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</si>
  <si>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</si>
  <si>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</si>
  <si>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</si>
  <si>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</si>
  <si>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</si>
  <si>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</si>
  <si>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</si>
  <si>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</si>
  <si>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</si>
  <si>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</si>
  <si>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</si>
  <si>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</si>
  <si>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</si>
  <si>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</si>
  <si>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</si>
  <si>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</si>
  <si>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</si>
  <si>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</si>
  <si>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</si>
  <si>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</si>
  <si>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</si>
  <si>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</si>
  <si>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</si>
  <si>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</si>
  <si>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</si>
  <si>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</si>
  <si>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</si>
  <si>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</si>
  <si>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</si>
  <si>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</si>
  <si>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</si>
  <si>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</si>
  <si>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</si>
  <si>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</si>
  <si>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</si>
  <si>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</si>
  <si>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</si>
  <si>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</si>
  <si>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</si>
  <si>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</si>
  <si>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</si>
  <si>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</si>
  <si>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</si>
  <si>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</si>
  <si>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</si>
  <si>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</si>
  <si>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</si>
  <si>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</si>
  <si>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</si>
  <si>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</si>
  <si>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</si>
  <si>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</si>
  <si>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</si>
  <si>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</si>
  <si>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</si>
  <si>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</si>
  <si>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</si>
  <si>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</si>
  <si>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</si>
  <si>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</si>
  <si>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</si>
  <si>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</si>
  <si>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</si>
  <si>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</si>
  <si>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</si>
  <si>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</si>
  <si>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</si>
  <si>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</si>
  <si>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</si>
  <si>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</si>
  <si>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</si>
  <si>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</si>
  <si>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</si>
  <si>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</si>
  <si>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</si>
  <si>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</si>
  <si>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</si>
  <si>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</si>
  <si>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</si>
  <si>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</si>
  <si>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</si>
  <si>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</si>
  <si>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</si>
  <si>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</si>
  <si>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</si>
  <si>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</si>
  <si>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</si>
  <si>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</si>
  <si>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</si>
  <si>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</si>
  <si>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</si>
  <si>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</si>
  <si>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</si>
  <si>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</si>
  <si>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</si>
  <si>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</si>
  <si>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</si>
  <si>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</si>
  <si>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</si>
  <si>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</si>
  <si>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</si>
  <si>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</si>
  <si>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</si>
  <si>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</si>
  <si>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</si>
  <si>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</si>
  <si>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</si>
  <si>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</si>
  <si>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</si>
  <si>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</si>
  <si>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</si>
  <si>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</si>
  <si>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</si>
  <si>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</si>
  <si>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</si>
  <si>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</si>
  <si>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</si>
  <si>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</si>
  <si>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</si>
  <si>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</si>
  <si>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</si>
  <si>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</si>
  <si>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</si>
  <si>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</si>
  <si>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</si>
  <si>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</si>
  <si>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</si>
  <si>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</si>
  <si>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</si>
  <si>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</si>
  <si>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</si>
  <si>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</si>
  <si>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</si>
  <si>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</si>
  <si>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</si>
  <si>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</si>
  <si>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</si>
  <si>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</si>
  <si>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</si>
  <si>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</si>
  <si>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</si>
  <si>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</si>
  <si>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</si>
  <si>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</si>
  <si>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</si>
  <si>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</si>
  <si>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</si>
  <si>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</si>
  <si>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</si>
  <si>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</si>
  <si>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</si>
  <si>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</si>
  <si>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</si>
  <si>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</si>
  <si>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</si>
  <si>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</si>
  <si>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</si>
  <si>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</si>
  <si>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</si>
  <si>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</si>
  <si>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</si>
  <si>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</si>
  <si>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</si>
  <si>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</si>
  <si>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</si>
  <si>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</si>
  <si>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</si>
  <si>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</si>
  <si>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</si>
  <si>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</si>
  <si>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</si>
  <si>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</si>
  <si>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</si>
  <si>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</si>
  <si>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</si>
  <si>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</si>
  <si>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</si>
  <si>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</si>
  <si>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</si>
  <si>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</si>
  <si>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</si>
  <si>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</si>
  <si>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</si>
  <si>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</si>
  <si>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</si>
  <si>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</si>
  <si>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</si>
  <si>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</si>
  <si>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</si>
  <si>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</si>
  <si>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</si>
  <si>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</si>
  <si>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</si>
  <si>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</si>
  <si>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</si>
  <si>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</si>
  <si>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</si>
  <si>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</si>
  <si>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</si>
  <si>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</si>
  <si>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</si>
  <si>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</si>
  <si>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</si>
  <si>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</si>
  <si>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</si>
  <si>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</si>
  <si>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</si>
  <si>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</si>
  <si>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</si>
  <si>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</si>
  <si>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</si>
  <si>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</si>
  <si>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</si>
  <si>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</si>
  <si>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</si>
  <si>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</si>
  <si>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</si>
  <si>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</si>
  <si>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</si>
  <si>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</si>
  <si>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</si>
  <si>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</si>
  <si>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</si>
  <si>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</si>
  <si>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</si>
  <si>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</si>
  <si>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</si>
  <si>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</si>
  <si>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</si>
  <si>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</si>
  <si>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</si>
  <si>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</si>
  <si>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</si>
  <si>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</si>
  <si>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</si>
  <si>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</si>
  <si>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</si>
  <si>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</si>
  <si>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</si>
  <si>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</si>
  <si>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</si>
  <si>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</si>
  <si>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</si>
  <si>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</si>
  <si>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</si>
  <si>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</si>
  <si>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</si>
  <si>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</si>
  <si>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</si>
  <si>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</si>
  <si>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</si>
  <si>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</si>
  <si>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</si>
  <si>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</si>
  <si>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</si>
  <si>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</si>
  <si>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</si>
  <si>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</si>
  <si>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</si>
  <si>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</si>
  <si>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</si>
  <si>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</si>
  <si>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</si>
  <si>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</si>
  <si>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</si>
  <si>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</si>
  <si>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</si>
  <si>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</si>
  <si>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</si>
  <si>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</si>
  <si>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</si>
  <si>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</si>
  <si>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</si>
  <si>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</si>
  <si>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</si>
  <si>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</si>
  <si>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</si>
  <si>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</si>
  <si>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</si>
  <si>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</si>
  <si>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</si>
  <si>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</si>
  <si>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</si>
  <si>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</si>
  <si>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</si>
  <si>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</si>
  <si>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</si>
  <si>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</si>
  <si>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</si>
  <si>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</si>
  <si>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</si>
  <si>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</si>
  <si>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</si>
  <si>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</si>
  <si>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</si>
  <si>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</si>
  <si>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</si>
  <si>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</si>
  <si>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</si>
  <si>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</si>
  <si>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</si>
  <si>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</si>
  <si>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</si>
  <si>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</si>
  <si>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</si>
  <si>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</si>
  <si>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</si>
  <si>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</si>
  <si>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</si>
  <si>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</si>
  <si>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</si>
  <si>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</si>
  <si>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</si>
  <si>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</si>
  <si>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</si>
  <si>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</si>
  <si>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</si>
  <si>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</si>
  <si>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</si>
  <si>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</si>
  <si>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</si>
  <si>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</si>
  <si>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</si>
  <si>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</si>
  <si>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</si>
  <si>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</si>
  <si>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</si>
  <si>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</si>
  <si>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</si>
  <si>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</si>
  <si>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</si>
  <si>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</si>
  <si>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</si>
  <si>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</si>
  <si>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</si>
  <si>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</si>
  <si>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</si>
  <si>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</si>
  <si>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</si>
  <si>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</si>
  <si>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</si>
  <si>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</si>
  <si>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</si>
  <si>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</si>
  <si>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</si>
  <si>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</si>
  <si>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</si>
  <si>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</si>
  <si>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</si>
  <si>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</si>
  <si>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</si>
  <si>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</si>
  <si>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</si>
  <si>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</si>
  <si>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</si>
  <si>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</si>
  <si>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</si>
  <si>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</si>
  <si>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</si>
  <si>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</si>
  <si>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</si>
  <si>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</si>
  <si>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</si>
  <si>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</si>
  <si>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</si>
  <si>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</si>
  <si>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</si>
  <si>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</si>
  <si>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</si>
  <si>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</si>
  <si>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</si>
  <si>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</si>
  <si>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</si>
  <si>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</si>
  <si>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</si>
  <si>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</si>
  <si>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</si>
  <si>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</si>
  <si>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</si>
  <si>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</si>
  <si>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</si>
  <si>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</si>
  <si>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</si>
  <si>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</si>
  <si>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</si>
  <si>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</si>
  <si>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</si>
  <si>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</si>
  <si>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</si>
  <si>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</si>
  <si>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</si>
  <si>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</si>
  <si>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</si>
  <si>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</si>
  <si>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</si>
  <si>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</si>
  <si>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</si>
  <si>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</si>
  <si>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</si>
  <si>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</si>
  <si>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</si>
  <si>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</si>
  <si>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</si>
  <si>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</si>
  <si>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CHOUETTE</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</si>
  <si>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</si>
  <si>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</si>
  <si>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</si>
  <si>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</si>
  <si>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</si>
  <si>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</si>
  <si>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</si>
  <si>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</si>
  <si>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</si>
  <si>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</si>
  <si>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</si>
  <si>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</si>
  <si>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</si>
  <si>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</si>
  <si>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</si>
  <si>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</si>
  <si>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</si>
  <si>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</si>
  <si>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</si>
  <si>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</si>
  <si>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</si>
  <si>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</si>
  <si>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</si>
  <si>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</si>
  <si>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</si>
  <si>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</si>
  <si>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</si>
  <si>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</si>
  <si>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</si>
  <si>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</si>
  <si>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</si>
  <si>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</si>
  <si>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</si>
  <si>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</si>
  <si>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</si>
  <si>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</si>
  <si>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</si>
  <si>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</si>
  <si>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</si>
  <si>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</si>
  <si>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</si>
  <si>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</si>
  <si>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</si>
  <si>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</si>
  <si>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</si>
  <si>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</si>
  <si>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</si>
  <si>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</si>
  <si>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</si>
  <si>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</si>
  <si>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</si>
  <si>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</si>
  <si>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</si>
  <si>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</si>
  <si>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</si>
  <si>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</si>
  <si>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</si>
  <si>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</si>
  <si>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</si>
  <si>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</si>
  <si>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</si>
  <si>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</si>
  <si>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</si>
  <si>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</si>
  <si>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</si>
  <si>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</si>
  <si>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</si>
  <si>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</si>
  <si>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</si>
  <si>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</si>
  <si>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</si>
  <si>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</si>
  <si>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</si>
  <si>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</si>
  <si>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</si>
  <si>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</si>
  <si>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</si>
  <si>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</si>
  <si>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</si>
  <si>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</si>
  <si>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</si>
  <si>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</si>
  <si>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</si>
  <si>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</si>
  <si>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</si>
  <si>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</si>
  <si>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</si>
  <si>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</si>
  <si>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</si>
  <si>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</si>
  <si>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</si>
  <si>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</si>
  <si>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</si>
  <si>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</si>
  <si>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</si>
  <si>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</si>
  <si>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</si>
  <si>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</si>
  <si>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</si>
  <si>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</si>
  <si>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</si>
  <si>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</si>
  <si>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</si>
  <si>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</si>
  <si>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</si>
  <si>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</si>
  <si>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</si>
  <si>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</si>
  <si>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</si>
  <si>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</si>
  <si>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</si>
  <si>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</si>
  <si>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</si>
  <si>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</si>
  <si>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</si>
  <si>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</si>
  <si>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</si>
  <si>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</si>
  <si>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</si>
  <si>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</si>
  <si>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</si>
  <si>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</si>
  <si>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</si>
  <si>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</si>
  <si>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</si>
  <si>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</si>
  <si>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</si>
  <si>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</si>
  <si>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</si>
  <si>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</si>
  <si>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</si>
  <si>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</si>
  <si>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</si>
  <si>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</si>
  <si>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</si>
  <si>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</si>
  <si>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</si>
  <si>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</si>
  <si>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</si>
  <si>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</si>
  <si>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</si>
  <si>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</si>
  <si>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</si>
  <si>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</si>
  <si>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</si>
  <si>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</si>
  <si>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</si>
  <si>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</si>
  <si>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</si>
  <si>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</si>
  <si>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</si>
  <si>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</si>
  <si>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</si>
  <si>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</si>
  <si>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</si>
  <si>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</si>
  <si>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</si>
  <si>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</si>
  <si>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</si>
  <si>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</si>
  <si>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</si>
  <si>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</si>
  <si>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</si>
  <si>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</si>
  <si>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</si>
  <si>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</si>
  <si>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</si>
  <si>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</si>
  <si>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</si>
  <si>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</si>
  <si>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</si>
  <si>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</si>
  <si>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</si>
  <si>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</si>
  <si>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</si>
  <si>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</si>
  <si>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</si>
  <si>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</si>
  <si>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</si>
  <si>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</si>
  <si>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</si>
  <si>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</si>
  <si>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</si>
  <si>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</si>
  <si>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</si>
  <si>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</si>
  <si>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</si>
  <si>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</si>
  <si>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</si>
  <si>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</si>
  <si>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</si>
  <si>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</si>
  <si>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</si>
  <si>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</si>
  <si>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</si>
  <si>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</si>
  <si>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</si>
  <si>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</si>
  <si>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</si>
  <si>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</si>
  <si>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</si>
  <si>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</si>
  <si>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</si>
  <si>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</si>
  <si>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</si>
  <si>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</si>
  <si>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</si>
  <si>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</si>
  <si>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</si>
  <si>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</si>
  <si>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</si>
  <si>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</si>
  <si>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</si>
  <si>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</si>
  <si>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</si>
  <si>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</si>
  <si>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</si>
  <si>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</si>
  <si>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</si>
  <si>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</si>
  <si>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</si>
  <si>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</si>
  <si>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</si>
  <si>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</si>
  <si>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</si>
  <si>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</si>
  <si>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</si>
  <si>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</si>
  <si>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</si>
  <si>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</si>
  <si>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</si>
  <si>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</si>
  <si>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</si>
  <si>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</si>
  <si>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</si>
  <si>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</si>
  <si>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</si>
  <si>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</si>
  <si>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</si>
  <si>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</si>
  <si>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</si>
  <si>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</si>
  <si>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</si>
  <si>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</si>
  <si>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</si>
  <si>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</si>
  <si>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</si>
  <si>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</si>
  <si>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</si>
  <si>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</si>
  <si>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</si>
  <si>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</si>
  <si>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</si>
  <si>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</si>
  <si>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</si>
  <si>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</si>
  <si>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</si>
  <si>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</si>
  <si>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</si>
  <si>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</si>
  <si>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</si>
  <si>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</si>
  <si>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</si>
  <si>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</si>
  <si>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</si>
  <si>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</si>
  <si>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</si>
  <si>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</si>
  <si>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</si>
  <si>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</si>
  <si>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</si>
  <si>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</si>
  <si>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</si>
  <si>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</si>
  <si>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</si>
  <si>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</si>
  <si>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</si>
  <si>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</si>
  <si>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</si>
  <si>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</si>
  <si>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</si>
  <si>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</si>
  <si>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</si>
  <si>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</si>
  <si>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</si>
  <si>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</si>
  <si>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</si>
  <si>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</si>
  <si>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</si>
  <si>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</si>
  <si>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</si>
  <si>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</si>
  <si>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</si>
  <si>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</si>
  <si>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</si>
  <si>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</si>
  <si>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</si>
  <si>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</si>
  <si>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</si>
  <si>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</si>
  <si>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</si>
  <si>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</si>
  <si>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</si>
  <si>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</si>
  <si>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</si>
  <si>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</si>
  <si>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</si>
  <si>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</si>
  <si>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</si>
  <si>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</si>
  <si>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</si>
  <si>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</si>
  <si>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</si>
  <si>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</si>
  <si>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</si>
  <si>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</si>
  <si>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</si>
  <si>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</si>
  <si>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</si>
  <si>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</si>
  <si>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</si>
  <si>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</si>
  <si>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</si>
  <si>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</si>
  <si>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</si>
  <si>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</si>
  <si>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</si>
  <si>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</si>
  <si>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</si>
  <si>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</si>
  <si>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</si>
  <si>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</si>
  <si>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</si>
  <si>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</si>
  <si>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</si>
  <si>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</si>
  <si>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</si>
  <si>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</si>
  <si>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</si>
  <si>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</si>
  <si>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</si>
  <si>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</si>
  <si>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</si>
  <si>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</si>
  <si>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</si>
  <si>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</si>
  <si>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</si>
  <si>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</si>
  <si>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</si>
  <si>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</si>
  <si>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</si>
  <si>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</si>
  <si>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</si>
  <si>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</si>
  <si>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</si>
  <si>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</si>
  <si>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</si>
  <si>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</si>
  <si>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</si>
  <si>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</si>
  <si>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</si>
  <si>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</si>
  <si>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</si>
  <si>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</si>
  <si>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</si>
  <si>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</si>
  <si>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</si>
  <si>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</si>
  <si>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</si>
  <si>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</si>
  <si>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</si>
  <si>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</si>
  <si>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</si>
  <si>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</si>
  <si>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</si>
  <si>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</si>
  <si>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</si>
  <si>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</si>
  <si>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</si>
  <si>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</si>
  <si>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</si>
  <si>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</si>
  <si>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</si>
  <si>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</si>
  <si>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</si>
  <si>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</si>
  <si>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</si>
  <si>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</si>
  <si>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</si>
  <si>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</si>
  <si>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</si>
  <si>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</si>
  <si>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</si>
  <si>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</si>
  <si>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</si>
  <si>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</si>
  <si>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</si>
  <si>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</si>
  <si>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</si>
  <si>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</si>
  <si>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</si>
  <si>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</si>
  <si>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</si>
  <si>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</si>
  <si>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</si>
  <si>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</si>
  <si>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</si>
  <si>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</si>
  <si>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</si>
  <si>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</si>
  <si>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</si>
  <si>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</si>
  <si>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</si>
  <si>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</si>
  <si>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</si>
  <si>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</si>
  <si>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</si>
  <si>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</si>
  <si>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</si>
  <si>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</si>
  <si>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</si>
  <si>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</si>
  <si>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</si>
  <si>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</si>
  <si>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</si>
  <si>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</si>
  <si>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</si>
  <si>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</si>
  <si>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</si>
  <si>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</si>
  <si>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</si>
  <si>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</si>
  <si>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</si>
  <si>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</si>
  <si>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</si>
  <si>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</si>
  <si>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</si>
  <si>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</si>
  <si>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</si>
  <si>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</si>
  <si>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</si>
  <si>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</si>
  <si>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</si>
  <si>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</si>
  <si>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</si>
  <si>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</si>
  <si>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</si>
  <si>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</si>
  <si>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</si>
  <si>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</si>
  <si>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</si>
  <si>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</si>
  <si>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</si>
  <si>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</si>
  <si>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</si>
  <si>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</si>
  <si>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</si>
  <si>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</si>
  <si>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</si>
  <si>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</si>
  <si>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</si>
  <si>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</si>
  <si>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</si>
  <si>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</si>
  <si>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</si>
  <si>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</si>
  <si>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</si>
  <si>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</si>
  <si>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</si>
  <si>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</si>
  <si>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</si>
  <si>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</si>
  <si>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</si>
  <si>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</si>
  <si>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</si>
  <si>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</si>
  <si>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</si>
  <si>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</si>
  <si>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</si>
  <si>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</si>
  <si>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</si>
  <si>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</si>
  <si>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</si>
  <si>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</si>
  <si>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</si>
  <si>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</si>
  <si>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</si>
  <si>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</si>
  <si>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</si>
  <si>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</si>
  <si>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</si>
  <si>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</si>
  <si>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</si>
  <si>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</si>
  <si>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</si>
  <si>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</si>
  <si>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</si>
  <si>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</si>
  <si>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</si>
  <si>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</si>
  <si>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</si>
  <si>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</si>
  <si>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</si>
  <si>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</si>
  <si>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</si>
  <si>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</si>
  <si>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</si>
  <si>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</si>
  <si>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</si>
  <si>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</si>
  <si>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</si>
  <si>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</si>
  <si>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</si>
  <si>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</si>
  <si>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</si>
  <si>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</si>
  <si>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</si>
  <si>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</si>
  <si>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</si>
  <si>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</si>
  <si>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</si>
  <si>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</si>
  <si>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</si>
  <si>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</si>
  <si>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</si>
  <si>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</si>
  <si>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</si>
  <si>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</si>
  <si>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</si>
  <si>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</si>
  <si>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</si>
  <si>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</si>
  <si>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</si>
  <si>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</si>
  <si>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</si>
  <si>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</si>
  <si>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</si>
  <si>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</si>
  <si>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</si>
  <si>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</si>
  <si>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</si>
  <si>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</si>
  <si>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</si>
  <si>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</si>
  <si>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</si>
  <si>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</si>
  <si>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</si>
  <si>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</si>
  <si>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</si>
  <si>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</si>
  <si>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</si>
  <si>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</si>
  <si>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</si>
  <si>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</si>
  <si>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</si>
  <si>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</si>
  <si>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</si>
  <si>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</si>
  <si>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</si>
  <si>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</si>
  <si>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</si>
  <si>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</si>
  <si>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</si>
  <si>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</si>
  <si>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</si>
  <si>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</si>
  <si>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</si>
  <si>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</si>
  <si>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</si>
  <si>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</si>
  <si>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</si>
  <si>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</si>
  <si>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</si>
  <si>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</si>
  <si>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</si>
  <si>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</si>
  <si>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</si>
  <si>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</si>
  <si>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</si>
  <si>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</si>
  <si>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</si>
  <si>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</si>
  <si>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</si>
  <si>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</si>
  <si>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</si>
  <si>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</si>
  <si>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</si>
  <si>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</si>
  <si>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</si>
  <si>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</si>
  <si>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</si>
  <si>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</si>
  <si>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</si>
  <si>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</si>
  <si>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</si>
  <si>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</si>
  <si>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</si>
  <si>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</si>
  <si>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</si>
  <si>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</si>
  <si>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</si>
  <si>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</si>
  <si>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</si>
  <si>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</si>
  <si>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</si>
  <si>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</si>
  <si>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</si>
  <si>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</si>
  <si>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</si>
  <si>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</si>
  <si>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</si>
  <si>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</si>
  <si>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</si>
  <si>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</si>
  <si>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</si>
  <si>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</si>
  <si>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</si>
  <si>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</si>
  <si>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</si>
  <si>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</si>
  <si>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</si>
  <si>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</si>
  <si>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</si>
  <si>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</si>
  <si>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</si>
  <si>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</si>
  <si>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</si>
  <si>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</si>
  <si>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</si>
  <si>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</si>
  <si>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</si>
  <si>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</si>
  <si>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</si>
  <si>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</si>
  <si>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</si>
  <si>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</si>
  <si>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</si>
  <si>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</si>
  <si>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</si>
  <si>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</si>
  <si>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</si>
  <si>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</si>
  <si>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</si>
  <si>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</si>
  <si>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</si>
  <si>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</si>
  <si>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</si>
  <si>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</si>
  <si>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</si>
  <si>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</si>
  <si>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</si>
  <si>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</si>
  <si>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</si>
  <si>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</si>
  <si>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</si>
  <si>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</si>
  <si>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</si>
  <si>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</si>
  <si>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</si>
  <si>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</si>
  <si>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</si>
  <si>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</si>
  <si>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</si>
  <si>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</si>
  <si>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</si>
  <si>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</si>
  <si>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</si>
  <si>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</si>
  <si>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</si>
  <si>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</si>
  <si>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</si>
  <si>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</si>
  <si>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</si>
  <si>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</si>
  <si>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</si>
  <si>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</si>
  <si>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</si>
  <si>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</si>
  <si>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</si>
  <si>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</si>
  <si>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</si>
  <si>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</si>
  <si>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</si>
  <si>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</si>
  <si>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</si>
  <si>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</si>
  <si>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</si>
  <si>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</si>
  <si>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</si>
  <si>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</si>
  <si>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</si>
  <si>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</si>
  <si>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</si>
  <si>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</si>
  <si>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</si>
  <si>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</si>
  <si>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</si>
  <si>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</si>
  <si>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</si>
  <si>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</si>
  <si>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</si>
  <si>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</si>
  <si>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</si>
  <si>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</si>
  <si>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</si>
  <si>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</si>
  <si>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</si>
  <si>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</si>
  <si>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</si>
  <si>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</si>
  <si>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</si>
  <si>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</si>
  <si>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</si>
  <si>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</si>
  <si>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</si>
  <si>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</si>
  <si>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</si>
  <si>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</si>
  <si>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</si>
  <si>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</si>
  <si>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</si>
  <si>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</si>
  <si>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</si>
  <si>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</si>
  <si>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</si>
  <si>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</si>
  <si>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</si>
  <si>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</si>
  <si>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</si>
  <si>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</si>
  <si>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</si>
  <si>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</si>
  <si>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</si>
  <si>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</si>
  <si>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</si>
  <si>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</si>
  <si>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</si>
  <si>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</si>
  <si>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</si>
  <si>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</si>
  <si>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</si>
  <si>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</si>
  <si>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</si>
  <si>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</si>
  <si>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</si>
  <si>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</si>
  <si>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</si>
  <si>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</si>
  <si>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</si>
  <si>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</si>
  <si>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</si>
  <si>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</si>
  <si>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</si>
  <si>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</si>
  <si>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</si>
  <si>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</si>
  <si>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</si>
  <si>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</si>
  <si>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</si>
  <si>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</si>
  <si>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</si>
  <si>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</si>
  <si>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</si>
  <si>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</si>
  <si>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</si>
  <si>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</si>
  <si>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</si>
  <si>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</si>
  <si>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</si>
  <si>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</si>
  <si>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</si>
  <si>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</si>
  <si>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</si>
  <si>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</si>
  <si>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</si>
  <si>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</si>
  <si>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</si>
  <si>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</si>
  <si>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</si>
  <si>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</si>
  <si>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</si>
  <si>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</si>
  <si>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</si>
  <si>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</si>
  <si>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</si>
  <si>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</si>
  <si>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</si>
  <si>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</si>
  <si>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</si>
  <si>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</si>
  <si>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</si>
  <si>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</si>
  <si>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</si>
  <si>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</si>
  <si>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</si>
  <si>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</si>
  <si>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</si>
  <si>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</si>
  <si>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</si>
  <si>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</si>
  <si>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</si>
  <si>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</si>
  <si>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</si>
  <si>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</si>
  <si>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</si>
  <si>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</si>
  <si>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</si>
  <si>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</si>
  <si>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</si>
  <si>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</si>
  <si>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</si>
  <si>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</si>
  <si>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</si>
  <si>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</si>
  <si>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</si>
  <si>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</si>
  <si>
    <t>Sortie OVS Phil : 19K 1h50</t>
  </si>
  <si>
    <t>W2D4 : 1h10@5'45</t>
  </si>
  <si>
    <t>W2D3 : 1h20@5'45</t>
  </si>
  <si>
    <t>Les foulées du circuit Dijon Prenois (8K)</t>
  </si>
  <si>
    <t>Récup</t>
  </si>
  <si>
    <t>Récup active</t>
  </si>
  <si>
    <t>temps au kilo</t>
  </si>
  <si>
    <t>65-70 % VMA</t>
  </si>
  <si>
    <t>50 % VMA entre les séries de fractionné</t>
  </si>
  <si>
    <t>70-75 % VMA (1 km/h de plus que V1)</t>
  </si>
  <si>
    <t>Vitesse marathon</t>
  </si>
  <si>
    <t>VMA :</t>
  </si>
  <si>
    <t>FC MAX :</t>
  </si>
  <si>
    <t>(estimée en km/h)</t>
  </si>
  <si>
    <t>(estimée à partir test d'effort 186 pulsations/minute atteint)</t>
  </si>
  <si>
    <t>MODELE</t>
  </si>
  <si>
    <t>Ne pas marcher donc vitesse &gt; 3 km/h</t>
  </si>
  <si>
    <t>Calcul vitesse</t>
  </si>
  <si>
    <t>80-85 % VMA</t>
  </si>
  <si>
    <t>V5</t>
  </si>
  <si>
    <t>Vitesse semi</t>
  </si>
  <si>
    <t>V6</t>
  </si>
  <si>
    <t>Vitesse 10K</t>
  </si>
  <si>
    <t>Calcul perf</t>
  </si>
  <si>
    <t>Distance (m)</t>
  </si>
  <si>
    <t>Perf (h:m:s)</t>
  </si>
  <si>
    <t>Vitesse (km/h)</t>
  </si>
  <si>
    <t>ONGLET ALLURES</t>
  </si>
  <si>
    <t>Sortie vélo 38K</t>
  </si>
  <si>
    <t>V0</t>
  </si>
  <si>
    <t>60 % VMA (Brûle graisse)</t>
  </si>
  <si>
    <t>Sortie brûle graisse + dép vélo +WxD1 (Fract léger)</t>
  </si>
  <si>
    <t>FC Mesurée</t>
  </si>
  <si>
    <t>FC Théorique</t>
  </si>
  <si>
    <t>Sortie brûle graisse + 1h30 @5''45</t>
  </si>
  <si>
    <t>p :44 revendues à Fabrice Huré</t>
  </si>
  <si>
    <t xml:space="preserve">Sortie brûle graisse 12 K </t>
  </si>
  <si>
    <t>Sortie brûle graisse + 55' @allure1</t>
  </si>
  <si>
    <t xml:space="preserve">Sortie brûle graisse 7 K </t>
  </si>
  <si>
    <t>Sortie OVS Phil : 21K 2h10 avec coupures</t>
  </si>
  <si>
    <t>SEMI MARATHON DU GRAND FOND BRESSAN</t>
  </si>
  <si>
    <t xml:space="preserve">Sortie brûle graisse 11 K (cf Dimanche) + 1h10@5'30 </t>
  </si>
  <si>
    <t xml:space="preserve">Sortie brûle graisse 1h  + 12K </t>
  </si>
  <si>
    <t>Sortie 1h 10K</t>
  </si>
  <si>
    <t>Sortie brûle graisse 1h</t>
  </si>
  <si>
    <t>Sortie brûle graisse 45' et Vélo 38K</t>
  </si>
  <si>
    <t>Sortie brûle graisse + sortie vélo</t>
  </si>
  <si>
    <t>Sortie brûle graisse 12 K  + sortie vélo</t>
  </si>
  <si>
    <t>Night and Run + A/R vélo</t>
  </si>
  <si>
    <t>Sortie brûle graisse 1h30</t>
  </si>
  <si>
    <t>Sortie brûle graisse 1h00</t>
  </si>
  <si>
    <t>Sortie brûle graisse 1h15 + 40' cf hier</t>
  </si>
  <si>
    <t>ALLURES \ PARAMETRES</t>
  </si>
  <si>
    <t>Sortie OVS avec Phil</t>
  </si>
  <si>
    <t>Sortie brûle graisse 12 K  + sortie vélo 29 K</t>
  </si>
  <si>
    <t>Repos :  départ</t>
  </si>
  <si>
    <t>Repos sortie vélo`</t>
  </si>
  <si>
    <t>Défi du Myon : Trail de 21 K + 2x 30 K vélo</t>
  </si>
  <si>
    <t>1h30 dont 3x 14' @4'30 (???)</t>
  </si>
  <si>
    <t>1h15 @5'45</t>
  </si>
  <si>
    <t>40' @5'45 + 10' @5'20</t>
  </si>
  <si>
    <t>50'@5'45 + 15' @5'20</t>
  </si>
  <si>
    <t>1h30 @5'45 dont 4x 10' @5'20</t>
  </si>
  <si>
    <t>1h @5'45</t>
  </si>
  <si>
    <t>1h15 avec fract</t>
  </si>
  <si>
    <t>Repos (sortie vélo)</t>
  </si>
  <si>
    <t>Repos : repérage des 4 derniers K</t>
  </si>
  <si>
    <t>1h30@5'45 dont 3x 16' @4'30 (???)</t>
  </si>
  <si>
    <t>1h30 @5'45</t>
  </si>
  <si>
    <t>Sortie brûle graisse 12 K  + sortie vélo 36 K</t>
  </si>
  <si>
    <t>15,5 K</t>
  </si>
  <si>
    <t>10,5 K</t>
  </si>
  <si>
    <t>13 K</t>
  </si>
  <si>
    <t>Sortie brûle graisse 13 K  + sortie vélo 36 K</t>
  </si>
  <si>
    <t>Sortie brûle graisse 15 K  + sortie vélo 35 K</t>
  </si>
  <si>
    <t>Sortie soir 12 K</t>
  </si>
  <si>
    <t>Sortie brûle graisse 10 K  + sortie vélo 55 K</t>
  </si>
  <si>
    <t>Sortie 21K trail roulant 2h11</t>
  </si>
  <si>
    <t>Sortie brûle graisse 11 K</t>
  </si>
  <si>
    <t>Sortie brûle graisse 12K 1h30</t>
  </si>
  <si>
    <t>Sortie brûle graisse 22K</t>
  </si>
  <si>
    <t>Sortie 8K + sortie vélo</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</si>
</sst>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 numFmtId="198" formatCode="m&quot;m&quot;\ s&quot;s&quot;"/>
    <numFmt numFmtId="199" formatCode="mm\'ss\'\'"/>
    <numFmt numFmtId="200" formatCode="\a\u\ yyyy\-mm\-dd"/>
    <numFmt numFmtId="201" formatCode="yyyy\-mm\-dd"/>
  </numFmts>
  <fonts count="53"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
      <sz val="16"/>
      <color indexed="8"/>
      <name val="Arial"/>
    </font>
    <font>
      <b/>
      <sz val="16"/>
      <color theme="1"/>
      <name val="Arial"/>
    </font>
    <font>
      <strike/>
      <sz val="10"/>
      <name val="Arial"/>
    </font>
  </fonts>
  <fills count="30">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
      <patternFill patternType="solid">
        <fgColor rgb="FFFEC087"/>
        <bgColor indexed="64"/>
      </patternFill>
    </fill>
    <fill>
      <patternFill patternType="solid">
        <fgColor rgb="FFFEC30A"/>
        <bgColor indexed="64"/>
      </patternFill>
    </fill>
    <fill>
      <patternFill patternType="solid">
        <fgColor theme="0" tint="-0.34998626667073579"/>
        <bgColor indexed="64"/>
      </patternFill>
    </fill>
    <fill>
      <patternFill patternType="solid">
        <fgColor rgb="FFFF8000"/>
        <bgColor indexed="64"/>
      </patternFill>
    </fill>
  </fills>
  <borders count="6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49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5">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0" fontId="47" fillId="0" borderId="0" xfId="0" applyFont="1" applyAlignment="1">
      <alignment horizontal="center" vertical="center"/>
    </xf>
    <xf numFmtId="0" fontId="21" fillId="3" borderId="8" xfId="0" applyFont="1" applyFill="1" applyBorder="1" applyAlignment="1">
      <alignment horizontal="center" vertical="center"/>
    </xf>
    <xf numFmtId="0" fontId="48" fillId="4" borderId="1" xfId="0" applyNumberFormat="1" applyFont="1" applyFill="1" applyBorder="1" applyAlignment="1">
      <alignment horizontal="center" vertical="center"/>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0" fontId="47" fillId="0" borderId="0" xfId="0" applyFont="1" applyAlignment="1" applyProtection="1">
      <alignment horizontal="center" vertical="center" shrinkToFit="1"/>
      <protection hidden="1"/>
    </xf>
    <xf numFmtId="0" fontId="47" fillId="0" borderId="45" xfId="0" applyFont="1" applyBorder="1" applyAlignment="1">
      <alignment horizontal="center" vertical="center"/>
    </xf>
    <xf numFmtId="0" fontId="47" fillId="0" borderId="45" xfId="0" applyFont="1" applyBorder="1" applyAlignment="1">
      <alignment horizontal="left" vertical="center"/>
    </xf>
    <xf numFmtId="0" fontId="21" fillId="3" borderId="8" xfId="0" applyFont="1" applyFill="1" applyBorder="1" applyAlignment="1">
      <alignment horizontal="right" vertical="center"/>
    </xf>
    <xf numFmtId="1" fontId="47" fillId="10" borderId="6" xfId="0" applyNumberFormat="1" applyFont="1" applyFill="1" applyBorder="1" applyAlignment="1" applyProtection="1">
      <alignment horizontal="center" vertical="center" shrinkToFit="1"/>
      <protection hidden="1"/>
    </xf>
    <xf numFmtId="9" fontId="47" fillId="8" borderId="45" xfId="0" applyNumberFormat="1" applyFont="1" applyFill="1" applyBorder="1" applyAlignment="1" applyProtection="1">
      <alignment horizontal="center" vertical="center"/>
      <protection hidden="1"/>
    </xf>
    <xf numFmtId="9" fontId="47" fillId="2" borderId="45" xfId="0" applyNumberFormat="1" applyFont="1" applyFill="1" applyBorder="1" applyAlignment="1" applyProtection="1">
      <alignment horizontal="center" vertical="center"/>
      <protection hidden="1"/>
    </xf>
    <xf numFmtId="9" fontId="47" fillId="9" borderId="45" xfId="0" applyNumberFormat="1" applyFont="1" applyFill="1" applyBorder="1" applyAlignment="1" applyProtection="1">
      <alignment horizontal="center" vertical="center"/>
      <protection hidden="1"/>
    </xf>
    <xf numFmtId="172" fontId="47" fillId="10" borderId="45" xfId="0" applyNumberFormat="1" applyFont="1" applyFill="1" applyBorder="1" applyAlignment="1" applyProtection="1">
      <alignment horizontal="center" vertical="center"/>
      <protection hidden="1"/>
    </xf>
    <xf numFmtId="173" fontId="47" fillId="8" borderId="45" xfId="0" applyNumberFormat="1" applyFont="1" applyFill="1" applyBorder="1" applyAlignment="1" applyProtection="1">
      <alignment horizontal="center" vertical="center"/>
      <protection hidden="1"/>
    </xf>
    <xf numFmtId="173" fontId="21" fillId="8" borderId="45" xfId="0" applyNumberFormat="1" applyFont="1" applyFill="1" applyBorder="1" applyAlignment="1" applyProtection="1">
      <alignment horizontal="center" vertical="center"/>
      <protection hidden="1"/>
    </xf>
    <xf numFmtId="173" fontId="47" fillId="2" borderId="45" xfId="0" applyNumberFormat="1" applyFont="1" applyFill="1" applyBorder="1" applyAlignment="1" applyProtection="1">
      <alignment horizontal="center" vertical="center"/>
      <protection hidden="1"/>
    </xf>
    <xf numFmtId="173" fontId="21" fillId="2" borderId="45" xfId="0" applyNumberFormat="1" applyFont="1" applyFill="1" applyBorder="1" applyAlignment="1" applyProtection="1">
      <alignment horizontal="center" vertical="center"/>
      <protection hidden="1"/>
    </xf>
    <xf numFmtId="173" fontId="47" fillId="9" borderId="45" xfId="0" applyNumberFormat="1" applyFont="1" applyFill="1" applyBorder="1" applyAlignment="1" applyProtection="1">
      <alignment horizontal="center" vertical="center"/>
      <protection hidden="1"/>
    </xf>
    <xf numFmtId="173" fontId="47" fillId="10" borderId="45" xfId="0" applyNumberFormat="1" applyFont="1" applyFill="1" applyBorder="1" applyAlignment="1" applyProtection="1">
      <alignment horizontal="center" vertical="center"/>
      <protection hidden="1"/>
    </xf>
    <xf numFmtId="1" fontId="21" fillId="8" borderId="45" xfId="0" applyNumberFormat="1" applyFont="1" applyFill="1" applyBorder="1" applyAlignment="1" applyProtection="1">
      <alignment horizontal="center" vertical="center"/>
      <protection hidden="1"/>
    </xf>
    <xf numFmtId="1" fontId="21" fillId="2" borderId="45" xfId="0" applyNumberFormat="1" applyFont="1" applyFill="1" applyBorder="1" applyAlignment="1" applyProtection="1">
      <alignment horizontal="center" vertical="center"/>
      <protection hidden="1"/>
    </xf>
    <xf numFmtId="1" fontId="21" fillId="9" borderId="45" xfId="0" applyNumberFormat="1" applyFont="1" applyFill="1" applyBorder="1" applyAlignment="1" applyProtection="1">
      <alignment horizontal="center" vertical="center"/>
      <protection hidden="1"/>
    </xf>
    <xf numFmtId="1" fontId="21" fillId="10" borderId="45" xfId="0" applyNumberFormat="1"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wrapText="1"/>
      <protection hidden="1"/>
    </xf>
    <xf numFmtId="174" fontId="47" fillId="8" borderId="45" xfId="0" applyNumberFormat="1" applyFont="1" applyFill="1" applyBorder="1" applyAlignment="1" applyProtection="1">
      <alignment horizontal="center" vertical="center" wrapText="1"/>
      <protection hidden="1"/>
    </xf>
    <xf numFmtId="0" fontId="47" fillId="2" borderId="45" xfId="0" applyFont="1" applyFill="1" applyBorder="1" applyAlignment="1" applyProtection="1">
      <alignment horizontal="center" vertical="center"/>
      <protection hidden="1"/>
    </xf>
    <xf numFmtId="0" fontId="47" fillId="9" borderId="45" xfId="0" applyFont="1" applyFill="1" applyBorder="1" applyAlignment="1" applyProtection="1">
      <alignment horizontal="center" vertical="center"/>
      <protection hidden="1"/>
    </xf>
    <xf numFmtId="0" fontId="47" fillId="10" borderId="45" xfId="0"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protection hidden="1"/>
    </xf>
    <xf numFmtId="175" fontId="47" fillId="2" borderId="45" xfId="0" applyNumberFormat="1" applyFont="1" applyFill="1" applyBorder="1" applyAlignment="1" applyProtection="1">
      <alignment horizontal="center" vertical="center"/>
      <protection hidden="1"/>
    </xf>
    <xf numFmtId="175" fontId="47" fillId="9" borderId="45" xfId="0" quotePrefix="1" applyNumberFormat="1" applyFont="1" applyFill="1" applyBorder="1" applyAlignment="1" applyProtection="1">
      <alignment horizontal="center" vertical="center"/>
      <protection hidden="1"/>
    </xf>
    <xf numFmtId="176" fontId="47" fillId="9" borderId="45" xfId="0" applyNumberFormat="1" applyFont="1" applyFill="1" applyBorder="1" applyAlignment="1" applyProtection="1">
      <alignment horizontal="center" vertical="center"/>
      <protection hidden="1"/>
    </xf>
    <xf numFmtId="177" fontId="47" fillId="10" borderId="45" xfId="0" applyNumberFormat="1" applyFont="1" applyFill="1" applyBorder="1" applyAlignment="1" applyProtection="1">
      <alignment horizontal="center" vertical="center"/>
      <protection hidden="1"/>
    </xf>
    <xf numFmtId="178" fontId="21" fillId="8" borderId="45" xfId="0" applyNumberFormat="1" applyFont="1" applyFill="1" applyBorder="1" applyAlignment="1" applyProtection="1">
      <alignment horizontal="center" vertical="center" wrapText="1"/>
      <protection hidden="1"/>
    </xf>
    <xf numFmtId="178" fontId="21" fillId="2" borderId="45" xfId="0" applyNumberFormat="1" applyFont="1" applyFill="1" applyBorder="1" applyAlignment="1" applyProtection="1">
      <alignment horizontal="center" vertical="center" wrapText="1"/>
      <protection hidden="1"/>
    </xf>
    <xf numFmtId="178" fontId="21" fillId="9" borderId="45" xfId="0" applyNumberFormat="1" applyFont="1" applyFill="1" applyBorder="1" applyAlignment="1" applyProtection="1">
      <alignment horizontal="center" vertical="center" wrapText="1"/>
      <protection hidden="1"/>
    </xf>
    <xf numFmtId="178" fontId="21" fillId="10" borderId="45" xfId="0" applyNumberFormat="1" applyFont="1" applyFill="1" applyBorder="1" applyAlignment="1" applyProtection="1">
      <alignment horizontal="center" vertical="center" wrapText="1"/>
      <protection hidden="1"/>
    </xf>
    <xf numFmtId="0" fontId="21" fillId="3" borderId="58" xfId="0" applyFont="1" applyFill="1" applyBorder="1" applyAlignment="1">
      <alignment horizontal="center" vertical="center"/>
    </xf>
    <xf numFmtId="0" fontId="21" fillId="3" borderId="59" xfId="0" applyFont="1" applyFill="1" applyBorder="1" applyAlignment="1">
      <alignment horizontal="center" vertical="center"/>
    </xf>
    <xf numFmtId="0" fontId="21" fillId="3" borderId="60" xfId="0" applyFont="1" applyFill="1" applyBorder="1" applyAlignment="1">
      <alignment horizontal="center" vertical="center"/>
    </xf>
    <xf numFmtId="0" fontId="21" fillId="3" borderId="44" xfId="0" applyFont="1" applyFill="1" applyBorder="1" applyAlignment="1">
      <alignment horizontal="center" vertical="center"/>
    </xf>
    <xf numFmtId="0" fontId="21" fillId="3" borderId="61" xfId="0" applyFont="1" applyFill="1" applyBorder="1" applyAlignment="1">
      <alignment horizontal="center" vertical="center"/>
    </xf>
    <xf numFmtId="0" fontId="21" fillId="3" borderId="62" xfId="0" applyFont="1" applyFill="1" applyBorder="1" applyAlignment="1">
      <alignment horizontal="center" vertical="center"/>
    </xf>
    <xf numFmtId="0" fontId="48" fillId="4" borderId="63" xfId="0" applyNumberFormat="1" applyFont="1" applyFill="1" applyBorder="1" applyAlignment="1">
      <alignment horizontal="center" vertical="center"/>
    </xf>
    <xf numFmtId="0" fontId="47" fillId="0" borderId="64" xfId="0" applyFont="1" applyBorder="1" applyAlignment="1">
      <alignment horizontal="left" vertical="center"/>
    </xf>
    <xf numFmtId="0" fontId="21" fillId="3" borderId="65" xfId="0" applyFont="1" applyFill="1" applyBorder="1" applyAlignment="1">
      <alignment horizontal="center" vertical="center"/>
    </xf>
    <xf numFmtId="0" fontId="47" fillId="0" borderId="66" xfId="0" applyFont="1" applyBorder="1" applyAlignment="1">
      <alignment horizontal="left" vertical="center"/>
    </xf>
    <xf numFmtId="0" fontId="21" fillId="3" borderId="67" xfId="0" applyFont="1" applyFill="1" applyBorder="1" applyAlignment="1">
      <alignment horizontal="center" vertical="center"/>
    </xf>
    <xf numFmtId="198" fontId="47" fillId="8" borderId="67" xfId="0" applyNumberFormat="1" applyFont="1" applyFill="1" applyBorder="1" applyAlignment="1" applyProtection="1">
      <alignment horizontal="center" vertical="center"/>
      <protection hidden="1"/>
    </xf>
    <xf numFmtId="199" fontId="48" fillId="4" borderId="1" xfId="0" applyNumberFormat="1" applyFont="1" applyFill="1" applyBorder="1" applyAlignment="1">
      <alignment horizontal="center" vertical="center"/>
    </xf>
    <xf numFmtId="2" fontId="51" fillId="26" borderId="63" xfId="0" applyNumberFormat="1" applyFont="1" applyFill="1" applyBorder="1" applyAlignment="1">
      <alignment horizontal="center" vertical="center"/>
    </xf>
    <xf numFmtId="2" fontId="47" fillId="8" borderId="67" xfId="0" applyNumberFormat="1" applyFont="1" applyFill="1" applyBorder="1" applyAlignment="1" applyProtection="1">
      <alignment horizontal="center" vertical="center"/>
      <protection hidden="1"/>
    </xf>
    <xf numFmtId="2" fontId="48" fillId="4" borderId="1" xfId="0" applyNumberFormat="1" applyFont="1" applyFill="1" applyBorder="1" applyAlignment="1">
      <alignment horizontal="center" vertical="center"/>
    </xf>
    <xf numFmtId="1" fontId="51" fillId="26" borderId="63" xfId="0" applyNumberFormat="1" applyFont="1" applyFill="1" applyBorder="1" applyAlignment="1">
      <alignment horizontal="center" vertical="center"/>
    </xf>
    <xf numFmtId="200" fontId="47" fillId="0" borderId="0" xfId="0" applyNumberFormat="1" applyFont="1" applyAlignment="1">
      <alignment horizontal="center" vertical="center"/>
    </xf>
    <xf numFmtId="0" fontId="48" fillId="4" borderId="62" xfId="0" applyNumberFormat="1" applyFont="1" applyFill="1" applyBorder="1" applyAlignment="1">
      <alignment horizontal="center" vertical="center"/>
    </xf>
    <xf numFmtId="0" fontId="48" fillId="4" borderId="64" xfId="0" applyNumberFormat="1" applyFont="1" applyFill="1" applyBorder="1" applyAlignment="1">
      <alignment horizontal="center" vertical="center"/>
    </xf>
    <xf numFmtId="0" fontId="48" fillId="4" borderId="65" xfId="0" applyNumberFormat="1" applyFont="1" applyFill="1" applyBorder="1" applyAlignment="1">
      <alignment horizontal="center" vertical="center"/>
    </xf>
    <xf numFmtId="197" fontId="50" fillId="26" borderId="45" xfId="374" applyNumberFormat="1" applyFont="1" applyFill="1" applyBorder="1" applyAlignment="1">
      <alignment horizontal="center" vertical="center" wrapText="1"/>
    </xf>
    <xf numFmtId="0" fontId="51" fillId="27" borderId="66" xfId="0" applyNumberFormat="1" applyFont="1" applyFill="1" applyBorder="1" applyAlignment="1">
      <alignment horizontal="center" vertical="center"/>
    </xf>
    <xf numFmtId="0" fontId="48" fillId="4" borderId="67" xfId="0" applyNumberFormat="1" applyFont="1" applyFill="1" applyBorder="1" applyAlignment="1">
      <alignment horizontal="center" vertical="center"/>
    </xf>
    <xf numFmtId="0" fontId="48" fillId="4" borderId="68" xfId="0" applyNumberFormat="1" applyFont="1" applyFill="1" applyBorder="1" applyAlignment="1">
      <alignment horizontal="center" vertical="center"/>
    </xf>
    <xf numFmtId="197" fontId="50" fillId="26" borderId="63" xfId="374" applyNumberFormat="1" applyFont="1" applyFill="1" applyBorder="1" applyAlignment="1">
      <alignment horizontal="center" vertical="center" wrapText="1"/>
    </xf>
    <xf numFmtId="197" fontId="50" fillId="26" borderId="46" xfId="374" applyNumberFormat="1" applyFont="1" applyFill="1" applyBorder="1" applyAlignment="1">
      <alignment horizontal="center" vertical="center" wrapText="1"/>
    </xf>
    <xf numFmtId="0" fontId="36" fillId="19" borderId="1" xfId="0" applyNumberFormat="1" applyFont="1" applyFill="1" applyBorder="1" applyAlignment="1">
      <alignment horizontal="left" vertical="center"/>
    </xf>
    <xf numFmtId="165" fontId="0" fillId="28" borderId="1" xfId="0" applyNumberFormat="1" applyFont="1" applyFill="1" applyBorder="1" applyAlignment="1">
      <alignment horizontal="center" vertical="center"/>
    </xf>
    <xf numFmtId="194" fontId="4" fillId="28" borderId="1" xfId="0" applyNumberFormat="1" applyFont="1" applyFill="1" applyBorder="1" applyAlignment="1">
      <alignment horizontal="center" vertical="center"/>
    </xf>
    <xf numFmtId="14" fontId="2" fillId="28" borderId="1" xfId="0" applyNumberFormat="1" applyFont="1" applyFill="1" applyBorder="1" applyAlignment="1">
      <alignment horizontal="center" vertical="center"/>
    </xf>
    <xf numFmtId="0" fontId="2" fillId="28" borderId="1" xfId="0" applyFont="1" applyFill="1" applyBorder="1" applyAlignment="1">
      <alignment horizontal="center" vertical="center"/>
    </xf>
    <xf numFmtId="14" fontId="2" fillId="28" borderId="1" xfId="0" applyNumberFormat="1" applyFont="1" applyFill="1" applyBorder="1" applyAlignment="1">
      <alignment horizontal="left" vertical="center"/>
    </xf>
    <xf numFmtId="194" fontId="0" fillId="28" borderId="1" xfId="0" applyNumberFormat="1" applyFont="1" applyFill="1" applyBorder="1" applyAlignment="1">
      <alignment horizontal="center" vertical="center"/>
    </xf>
    <xf numFmtId="14" fontId="0" fillId="28" borderId="1" xfId="0" applyNumberFormat="1" applyFont="1" applyFill="1" applyBorder="1" applyAlignment="1">
      <alignment horizontal="center" vertical="center"/>
    </xf>
    <xf numFmtId="0" fontId="0" fillId="28" borderId="1" xfId="0" applyFont="1" applyFill="1" applyBorder="1" applyAlignment="1">
      <alignment horizontal="center" vertical="center"/>
    </xf>
    <xf numFmtId="14" fontId="0" fillId="28" borderId="1" xfId="0" applyNumberFormat="1" applyFont="1" applyFill="1" applyBorder="1" applyAlignment="1">
      <alignment horizontal="left" vertical="center"/>
    </xf>
    <xf numFmtId="165" fontId="52" fillId="28" borderId="1" xfId="0" applyNumberFormat="1" applyFont="1" applyFill="1" applyBorder="1" applyAlignment="1">
      <alignment horizontal="center" vertical="center"/>
    </xf>
    <xf numFmtId="0" fontId="0" fillId="28" borderId="1" xfId="0" applyFont="1" applyFill="1" applyBorder="1" applyAlignment="1">
      <alignment horizontal="left" vertical="center"/>
    </xf>
    <xf numFmtId="192" fontId="10" fillId="3" borderId="8" xfId="0" applyNumberFormat="1" applyFont="1" applyFill="1" applyBorder="1" applyAlignment="1">
      <alignment horizontal="center" vertical="center"/>
    </xf>
    <xf numFmtId="0" fontId="4" fillId="0" borderId="1" xfId="0" applyFont="1" applyBorder="1" applyAlignment="1">
      <alignment horizontal="center" vertical="center"/>
    </xf>
    <xf numFmtId="201" fontId="0" fillId="0" borderId="1" xfId="0" applyNumberFormat="1" applyFont="1" applyBorder="1" applyAlignment="1">
      <alignment horizontal="center" vertical="center"/>
    </xf>
    <xf numFmtId="165" fontId="2" fillId="29" borderId="1" xfId="0" applyNumberFormat="1" applyFont="1" applyFill="1" applyBorder="1" applyAlignment="1">
      <alignment horizontal="center" vertical="center"/>
    </xf>
    <xf numFmtId="0" fontId="4" fillId="29" borderId="1" xfId="0" applyFont="1" applyFill="1" applyBorder="1" applyAlignment="1">
      <alignment horizontal="center" vertical="top"/>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applyFont="1" applyAlignment="1">
      <alignment horizontal="left" vertical="top" wrapText="1"/>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0" fillId="0" borderId="0" xfId="0" applyFont="1" applyAlignment="1">
      <alignment horizontal="left" vertical="center"/>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3"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3" fillId="0" borderId="0" xfId="0" applyFont="1" applyAlignment="1" applyProtection="1">
      <alignment horizontal="center"/>
      <protection hidden="1"/>
    </xf>
    <xf numFmtId="0" fontId="18"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4"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3" fillId="0" borderId="1" xfId="0" applyFont="1" applyBorder="1" applyAlignment="1">
      <alignment horizontal="left" indent="2"/>
    </xf>
  </cellXfs>
  <cellStyles count="49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Normal" xfId="0" builtinId="0"/>
    <cellStyle name="Normal 2" xfId="98"/>
    <cellStyle name="Normal 3" xfId="374"/>
    <cellStyle name="Style 1" xfId="99"/>
    <cellStyle name="Style 2" xfId="100"/>
    <cellStyle name="Titre" xfId="101"/>
    <cellStyle name="Vérification" xfId="102"/>
  </cellStyles>
  <dxfs count="14">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ivate/tmp/com.bombich.dmg_mount.ZAAqOM/Users/bertrand/MY_GITHUB/my-running/EXCEL/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70"/>
  <sheetViews>
    <sheetView showGridLines="0" tabSelected="1" topLeftCell="A52" workbookViewId="0">
      <selection activeCell="L74" sqref="L74"/>
    </sheetView>
  </sheetViews>
  <sheetFormatPr baseColWidth="10" defaultRowHeight="12" x14ac:dyDescent="0"/>
  <cols>
    <col min="1" max="1" width="2.6640625" customWidth="1"/>
    <col min="2" max="2" width="13.1640625" style="235" bestFit="1" customWidth="1"/>
    <col min="3" max="3" width="13.1640625" style="235" customWidth="1"/>
    <col min="4" max="4" width="8.5" style="235" customWidth="1"/>
    <col min="5" max="6" width="8.1640625" style="3" bestFit="1" customWidth="1"/>
    <col min="7" max="7" width="59.1640625" style="264"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s>
  <sheetData>
    <row r="1" spans="2:21" ht="13" thickBot="1"/>
    <row r="2" spans="2:21" ht="23" customHeight="1" thickTop="1" thickBot="1">
      <c r="B2" s="408" t="s">
        <v>363</v>
      </c>
      <c r="C2" s="409"/>
      <c r="D2" s="409"/>
      <c r="E2" s="409"/>
      <c r="F2" s="409"/>
      <c r="G2" s="409"/>
      <c r="H2" s="409"/>
      <c r="I2" s="409"/>
      <c r="J2" s="409"/>
      <c r="K2" s="409"/>
      <c r="L2" s="409"/>
      <c r="M2" s="409"/>
      <c r="N2" s="409"/>
      <c r="O2" s="409"/>
      <c r="P2" s="409"/>
      <c r="Q2" s="409"/>
      <c r="R2" s="409"/>
      <c r="S2" s="409"/>
      <c r="T2" s="409"/>
      <c r="U2" s="410"/>
    </row>
    <row r="3" spans="2:21" ht="14" thickTop="1" thickBot="1"/>
    <row r="4" spans="2:21" ht="30" customHeight="1" thickTop="1" thickBot="1">
      <c r="B4" s="405" t="s">
        <v>633</v>
      </c>
      <c r="C4" s="406"/>
      <c r="D4" s="406"/>
      <c r="E4" s="406"/>
      <c r="F4" s="406"/>
      <c r="G4" s="407"/>
      <c r="H4" s="402" t="s">
        <v>483</v>
      </c>
      <c r="I4" s="403"/>
      <c r="J4" s="403"/>
      <c r="K4" s="403"/>
      <c r="L4" s="404"/>
      <c r="M4" s="402" t="s">
        <v>484</v>
      </c>
      <c r="N4" s="403"/>
      <c r="O4" s="403"/>
      <c r="P4" s="403"/>
      <c r="Q4" s="404"/>
      <c r="R4" s="402" t="s">
        <v>495</v>
      </c>
      <c r="S4" s="403"/>
      <c r="T4" s="403"/>
      <c r="U4" s="404"/>
    </row>
    <row r="5" spans="2:21" ht="37" thickBot="1">
      <c r="B5" s="261" t="s">
        <v>239</v>
      </c>
      <c r="C5" s="261"/>
      <c r="D5" s="397" t="s">
        <v>716</v>
      </c>
      <c r="E5" s="262" t="s">
        <v>245</v>
      </c>
      <c r="F5" s="262" t="s">
        <v>251</v>
      </c>
      <c r="G5" s="263" t="s">
        <v>364</v>
      </c>
      <c r="H5" s="220" t="s">
        <v>252</v>
      </c>
      <c r="I5" s="220" t="s">
        <v>253</v>
      </c>
      <c r="J5" s="220" t="s">
        <v>254</v>
      </c>
      <c r="K5" s="20" t="s">
        <v>247</v>
      </c>
      <c r="L5" s="220" t="s">
        <v>383</v>
      </c>
      <c r="M5" s="220" t="s">
        <v>252</v>
      </c>
      <c r="N5" s="220" t="s">
        <v>253</v>
      </c>
      <c r="O5" s="220" t="s">
        <v>254</v>
      </c>
      <c r="P5" s="220" t="s">
        <v>247</v>
      </c>
      <c r="Q5" s="220" t="s">
        <v>485</v>
      </c>
      <c r="R5" s="220" t="s">
        <v>496</v>
      </c>
      <c r="S5" s="220" t="s">
        <v>252</v>
      </c>
      <c r="T5" s="220" t="s">
        <v>253</v>
      </c>
      <c r="U5" s="220" t="s">
        <v>254</v>
      </c>
    </row>
    <row r="6" spans="2:21" ht="13" thickBot="1">
      <c r="B6" s="399">
        <v>42370</v>
      </c>
      <c r="C6" s="35" t="str">
        <f>IF(EXACT(WEEKDAY(B6),1),"Dimanche",IF(EXACT(WEEKDAY(B6),2),"Lundi",IF(EXACT(WEEKDAY(B6),3),"Mardi",IF(EXACT(WEEKDAY(B6),4),"Mercredi",IF(EXACT(WEEKDAY(B6),5),"Jeudi",IF(EXACT(WEEKDAY(B6),6),"Vendredi",IF(EXACT(WEEKDAY(B6),7),"Samedi","Erreur de date")))))))</f>
        <v>Vendredi</v>
      </c>
      <c r="D6" s="35">
        <v>1</v>
      </c>
      <c r="E6" s="124">
        <f>WEEKNUM($B6)</f>
        <v>1</v>
      </c>
      <c r="F6" s="124">
        <f>MONTH(B6)</f>
        <v>1</v>
      </c>
      <c r="G6" s="27" t="s">
        <v>679</v>
      </c>
      <c r="H6" s="28" t="str">
        <f>CONCATENATE(SUMIF($E$6:$E6,$E6,$K$6:$K$370)," / ",SUMIF($E$6:$E$370,$E6,$K$6:$K$370))</f>
        <v>10 / 10</v>
      </c>
      <c r="I6" s="28" t="str">
        <f>CONCATENATE(SUMIF($F$6:$F6,$F6,$K$6:$K$370)," / ",SUMIF($F$6:$F$370,$F6,$K$6:$K$370))</f>
        <v>10 / 226,7</v>
      </c>
      <c r="J6" s="28" t="str">
        <f>CONCATENATE(SUM($K$6:$K6)," / ",SUM($K$6:$K$370))</f>
        <v>10 / 651,895</v>
      </c>
      <c r="K6" s="244">
        <v>10</v>
      </c>
      <c r="L6" s="28" t="s">
        <v>575</v>
      </c>
      <c r="M6" s="28" t="str">
        <f>CONCATENATE(SUMIF($E$6:$E6,$E6,$P$6:$P$370)," / ",SUMIF($E$6:$E$370,$E6,$P$6:$P$370))</f>
        <v>0 / 0</v>
      </c>
      <c r="N6" s="28" t="str">
        <f>CONCATENATE(SUMIF($F$6:$F6,$F6,$P6)," / ",SUMIF($F$6:$F$370,$F6,$P$6:$P$370))</f>
        <v>0 / 81</v>
      </c>
      <c r="O6" s="28" t="str">
        <f>CONCATENATE(SUM($P$6:$P6)," / ",SUM($P$6:$P370))</f>
        <v>0 / 528</v>
      </c>
      <c r="P6" s="244">
        <v>0</v>
      </c>
      <c r="Q6" s="28"/>
      <c r="R6" s="245">
        <v>0</v>
      </c>
      <c r="S6" s="28" t="str">
        <f>CONCATENATE(SUMIF($E$6:$E6,E6,$R$6:$R$370)," / ",SUMIF($E$6:$E$370,E6,$R$6:$R$370))</f>
        <v>0 / 0</v>
      </c>
      <c r="T6" s="28" t="str">
        <f>CONCATENATE(SUMIF($F$6:$F6,$F6,$R$6:$R$370)," / ",SUMIF($F$6:$F$370,$F6,$R$6:$R$370))</f>
        <v>0 / 0</v>
      </c>
      <c r="U6" s="28" t="str">
        <f>CONCATENATE(SUM($R$6:$R6)," / ",SUM($R$6:$R$370))</f>
        <v>0 / 0</v>
      </c>
    </row>
    <row r="7" spans="2:21" ht="13" thickBot="1">
      <c r="B7" s="399">
        <v>42371</v>
      </c>
      <c r="C7" s="35" t="str">
        <f t="shared" ref="C7:C70" si="0">IF(EXACT(WEEKDAY(B7),1),"Dimanche",IF(EXACT(WEEKDAY(B7),2),"Lundi",IF(EXACT(WEEKDAY(B7),3),"Mardi",IF(EXACT(WEEKDAY(B7),4),"Mercredi",IF(EXACT(WEEKDAY(B7),5),"Jeudi",IF(EXACT(WEEKDAY(B7),6),"Vendredi",IF(EXACT(WEEKDAY(B7),7),"Samedi","Erreur de date")))))))</f>
        <v>Samedi</v>
      </c>
      <c r="D7" s="35">
        <f>D6+1</f>
        <v>2</v>
      </c>
      <c r="E7" s="124">
        <f t="shared" ref="E7:E70" si="1">WEEKNUM($B7)</f>
        <v>1</v>
      </c>
      <c r="F7" s="124">
        <f t="shared" ref="F7:F70" si="2">MONTH(B7)</f>
        <v>1</v>
      </c>
      <c r="G7" s="27"/>
      <c r="H7" s="28" t="str">
        <f>CONCATENATE(SUMIF($E$6:$E7,$E7,$K$6:$K$370)," / ",SUMIF($E$6:$E$370,$E7,$K$6:$K$370))</f>
        <v>10 / 10</v>
      </c>
      <c r="I7" s="28" t="str">
        <f>CONCATENATE(SUMIF($F$6:$F7,$F7,$K$6:$K$370)," / ",SUMIF($F$6:$F$370,$F7,$K$6:$K$370))</f>
        <v>10 / 226,7</v>
      </c>
      <c r="J7" s="28" t="str">
        <f>CONCATENATE(SUM($K$6:$K7)," / ",SUM($K$6:$K$370))</f>
        <v>10 / 651,895</v>
      </c>
      <c r="K7" s="244">
        <v>0</v>
      </c>
      <c r="L7" s="28"/>
      <c r="M7" s="28" t="str">
        <f>CONCATENATE(SUMIF($E$6:$E7,$E7,$P$6:$P$370)," / ",SUMIF($E$6:$E$370,$E7,$P$6:$P$370))</f>
        <v>0 / 0</v>
      </c>
      <c r="N7" s="28" t="str">
        <f ca="1">CONCATENATE(SUMIF($F$6:$F7,$F7,$P7)," / ",SUMIF($F$6:$F$370,$F7,$P$6:$P$370))</f>
        <v>0 / 81</v>
      </c>
      <c r="O7" s="28" t="str">
        <f>CONCATENATE(SUM($P$6:$P7)," / ",SUM($P$6:$P371))</f>
        <v>0 / 528</v>
      </c>
      <c r="P7" s="244">
        <v>0</v>
      </c>
      <c r="Q7" s="28"/>
      <c r="R7" s="245">
        <v>0</v>
      </c>
      <c r="S7" s="28" t="str">
        <f>CONCATENATE(SUMIF($E$6:$E7,E7,$R$6:$R$370)," / ",SUMIF($E$6:$E$370,E7,$R$6:$R$370))</f>
        <v>0 / 0</v>
      </c>
      <c r="T7" s="28" t="str">
        <f>CONCATENATE(SUMIF($F$6:$F7,$F7,$R$6:$R$370)," / ",SUMIF($F$6:$F$370,$F7,$R$6:$R$370))</f>
        <v>0 / 0</v>
      </c>
      <c r="U7" s="28" t="str">
        <f>CONCATENATE(SUM($R$6:$R7)," / ",SUM($R$6:$R$370))</f>
        <v>0 / 0</v>
      </c>
    </row>
    <row r="8" spans="2:21" ht="13" thickBot="1">
      <c r="B8" s="399">
        <v>42372</v>
      </c>
      <c r="C8" s="35" t="str">
        <f t="shared" si="0"/>
        <v>Dimanche</v>
      </c>
      <c r="D8" s="35">
        <f t="shared" ref="D8:D71" si="3">D7+1</f>
        <v>3</v>
      </c>
      <c r="E8" s="124">
        <f t="shared" si="1"/>
        <v>2</v>
      </c>
      <c r="F8" s="124">
        <f t="shared" si="2"/>
        <v>1</v>
      </c>
      <c r="G8" s="27"/>
      <c r="H8" s="28" t="str">
        <f>CONCATENATE(SUMIF($E$6:$E8,$E8,$K$6:$K$370)," / ",SUMIF($E$6:$E$370,$E8,$K$6:$K$370))</f>
        <v>0 / 36</v>
      </c>
      <c r="I8" s="28" t="str">
        <f>CONCATENATE(SUMIF($F$6:$F8,$F8,$K$6:$K$370)," / ",SUMIF($F$6:$F$370,$F8,$K$6:$K$370))</f>
        <v>10 / 226,7</v>
      </c>
      <c r="J8" s="28" t="str">
        <f>CONCATENATE(SUM($K$6:$K8)," / ",SUM($K$6:$K$370))</f>
        <v>10 / 651,895</v>
      </c>
      <c r="K8" s="244">
        <v>0</v>
      </c>
      <c r="L8" s="28"/>
      <c r="M8" s="28" t="str">
        <f>CONCATENATE(SUMIF($E$6:$E8,$E8,$P$6:$P$370)," / ",SUMIF($E$6:$E$370,$E8,$P$6:$P$370))</f>
        <v>0 / 30</v>
      </c>
      <c r="N8" s="28" t="str">
        <f ca="1">CONCATENATE(SUMIF($F$6:$F8,$F8,$P8)," / ",SUMIF($F$6:$F$370,$F8,$P$6:$P$370))</f>
        <v>30 / 81</v>
      </c>
      <c r="O8" s="28" t="str">
        <f>CONCATENATE(SUM($P$6:$P8)," / ",SUM($P$6:$P372))</f>
        <v>0 / 528</v>
      </c>
      <c r="P8" s="244">
        <v>0</v>
      </c>
      <c r="Q8" s="28"/>
      <c r="R8" s="245">
        <v>0</v>
      </c>
      <c r="S8" s="28" t="str">
        <f>CONCATENATE(SUMIF($E$6:$E8,E8,$R$6:$R$370)," / ",SUMIF($E$6:$E$370,E8,$R$6:$R$370))</f>
        <v>0 / 0</v>
      </c>
      <c r="T8" s="28" t="str">
        <f>CONCATENATE(SUMIF($F$6:$F8,$F8,$R$6:$R$370)," / ",SUMIF($F$6:$F$370,$F8,$R$6:$R$370))</f>
        <v>0 / 0</v>
      </c>
      <c r="U8" s="28" t="str">
        <f>CONCATENATE(SUM($R$6:$R8)," / ",SUM($R$6:$R$370))</f>
        <v>0 / 0</v>
      </c>
    </row>
    <row r="9" spans="2:21" ht="13" thickBot="1">
      <c r="B9" s="399">
        <v>42373</v>
      </c>
      <c r="C9" s="35" t="str">
        <f t="shared" si="0"/>
        <v>Lundi</v>
      </c>
      <c r="D9" s="35">
        <f t="shared" si="3"/>
        <v>4</v>
      </c>
      <c r="E9" s="124">
        <f t="shared" si="1"/>
        <v>2</v>
      </c>
      <c r="F9" s="124">
        <f t="shared" si="2"/>
        <v>1</v>
      </c>
      <c r="G9" s="27" t="s">
        <v>681</v>
      </c>
      <c r="H9" s="28" t="str">
        <f>CONCATENATE(SUMIF($E$6:$E9,$E9,$K$6:$K$370)," / ",SUMIF($E$6:$E$370,$E9,$K$6:$K$370))</f>
        <v>0 / 36</v>
      </c>
      <c r="I9" s="28" t="str">
        <f>CONCATENATE(SUMIF($F$6:$F9,$F9,$K$6:$K$370)," / ",SUMIF($F$6:$F$370,$F9,$K$6:$K$370))</f>
        <v>10 / 226,7</v>
      </c>
      <c r="J9" s="28" t="str">
        <f>CONCATENATE(SUM($K$6:$K9)," / ",SUM($K$6:$K$370))</f>
        <v>10 / 651,895</v>
      </c>
      <c r="K9" s="244">
        <v>0</v>
      </c>
      <c r="L9" s="28"/>
      <c r="M9" s="28" t="str">
        <f>CONCATENATE(SUMIF($E$6:$E9,$E9,$P$6:$P$370)," / ",SUMIF($E$6:$E$370,$E9,$P$6:$P$370))</f>
        <v>30 / 30</v>
      </c>
      <c r="N9" s="28" t="str">
        <f ca="1">CONCATENATE(SUMIF($F$6:$F9,$F9,$P9)," / ",SUMIF($F$6:$F$370,$F9,$P$6:$P$370))</f>
        <v>30 / 81</v>
      </c>
      <c r="O9" s="28" t="str">
        <f>CONCATENATE(SUM($P$6:$P9)," / ",SUM($P$6:$P373))</f>
        <v>30 / 528</v>
      </c>
      <c r="P9" s="244">
        <v>30</v>
      </c>
      <c r="Q9" s="28" t="s">
        <v>488</v>
      </c>
      <c r="R9" s="245">
        <v>0</v>
      </c>
      <c r="S9" s="28" t="str">
        <f>CONCATENATE(SUMIF($E$6:$E9,E9,$R$6:$R$370)," / ",SUMIF($E$6:$E$370,E9,$R$6:$R$370))</f>
        <v>0 / 0</v>
      </c>
      <c r="T9" s="28" t="str">
        <f>CONCATENATE(SUMIF($F$6:$F9,$F9,$R$6:$R$370)," / ",SUMIF($F$6:$F$370,$F9,$R$6:$R$370))</f>
        <v>0 / 0</v>
      </c>
      <c r="U9" s="28" t="str">
        <f>CONCATENATE(SUM($R$6:$R9)," / ",SUM($R$6:$R$370))</f>
        <v>0 / 0</v>
      </c>
    </row>
    <row r="10" spans="2:21" ht="13" thickBot="1">
      <c r="B10" s="399">
        <v>42374</v>
      </c>
      <c r="C10" s="35" t="str">
        <f t="shared" si="0"/>
        <v>Mardi</v>
      </c>
      <c r="D10" s="35">
        <f t="shared" si="3"/>
        <v>5</v>
      </c>
      <c r="E10" s="124">
        <f t="shared" si="1"/>
        <v>2</v>
      </c>
      <c r="F10" s="124">
        <f t="shared" si="2"/>
        <v>1</v>
      </c>
      <c r="G10" s="27"/>
      <c r="H10" s="28" t="str">
        <f>CONCATENATE(SUMIF($E$6:$E10,$E10,$K$6:$K$370)," / ",SUMIF($E$6:$E$370,$E10,$K$6:$K$370))</f>
        <v>0 / 36</v>
      </c>
      <c r="I10" s="28" t="str">
        <f>CONCATENATE(SUMIF($F$6:$F10,$F10,$K$6:$K$370)," / ",SUMIF($F$6:$F$370,$F10,$K$6:$K$370))</f>
        <v>10 / 226,7</v>
      </c>
      <c r="J10" s="28" t="str">
        <f>CONCATENATE(SUM($K$6:$K10)," / ",SUM($K$6:$K$370))</f>
        <v>10 / 651,895</v>
      </c>
      <c r="K10" s="244">
        <v>0</v>
      </c>
      <c r="L10" s="28"/>
      <c r="M10" s="28" t="str">
        <f>CONCATENATE(SUMIF($E$6:$E10,$E10,$P$6:$P$370)," / ",SUMIF($E$6:$E$370,$E10,$P$6:$P$370))</f>
        <v>30 / 30</v>
      </c>
      <c r="N10" s="28" t="str">
        <f ca="1">CONCATENATE(SUMIF($F$6:$F10,$F10,$P10)," / ",SUMIF($F$6:$F$370,$F10,$P$6:$P$370))</f>
        <v>0 / 81</v>
      </c>
      <c r="O10" s="28" t="str">
        <f>CONCATENATE(SUM($P$6:$P10)," / ",SUM($P$6:$P374))</f>
        <v>30 / 528</v>
      </c>
      <c r="P10" s="244">
        <v>0</v>
      </c>
      <c r="Q10" s="28"/>
      <c r="R10" s="245">
        <v>0</v>
      </c>
      <c r="S10" s="28" t="str">
        <f>CONCATENATE(SUMIF($E$6:$E10,E10,$R$6:$R$370)," / ",SUMIF($E$6:$E$370,E10,$R$6:$R$370))</f>
        <v>0 / 0</v>
      </c>
      <c r="T10" s="28" t="str">
        <f>CONCATENATE(SUMIF($F$6:$F10,$F10,$R$6:$R$370)," / ",SUMIF($F$6:$F$370,$F10,$R$6:$R$370))</f>
        <v>0 / 0</v>
      </c>
      <c r="U10" s="28" t="str">
        <f>CONCATENATE(SUM($R$6:$R10)," / ",SUM($R$6:$R$370))</f>
        <v>0 / 0</v>
      </c>
    </row>
    <row r="11" spans="2:21" ht="13" thickBot="1">
      <c r="B11" s="399">
        <v>42375</v>
      </c>
      <c r="C11" s="35" t="str">
        <f t="shared" si="0"/>
        <v>Mercredi</v>
      </c>
      <c r="D11" s="35">
        <f t="shared" si="3"/>
        <v>6</v>
      </c>
      <c r="E11" s="124">
        <f t="shared" si="1"/>
        <v>2</v>
      </c>
      <c r="F11" s="124">
        <f t="shared" si="2"/>
        <v>1</v>
      </c>
      <c r="G11" s="27" t="s">
        <v>680</v>
      </c>
      <c r="H11" s="28" t="str">
        <f>CONCATENATE(SUMIF($E$6:$E11,$E11,$K$6:$K$370)," / ",SUMIF($E$6:$E$370,$E11,$K$6:$K$370))</f>
        <v>9 / 36</v>
      </c>
      <c r="I11" s="28" t="str">
        <f>CONCATENATE(SUMIF($F$6:$F11,$F11,$K$6:$K$370)," / ",SUMIF($F$6:$F$370,$F11,$K$6:$K$370))</f>
        <v>19 / 226,7</v>
      </c>
      <c r="J11" s="28" t="str">
        <f>CONCATENATE(SUM($K$6:$K11)," / ",SUM($K$6:$K$370))</f>
        <v>19 / 651,895</v>
      </c>
      <c r="K11" s="244">
        <v>9</v>
      </c>
      <c r="L11" s="28" t="s">
        <v>575</v>
      </c>
      <c r="M11" s="28" t="str">
        <f>CONCATENATE(SUMIF($E$6:$E11,$E11,$P$6:$P$370)," / ",SUMIF($E$6:$E$370,$E11,$P$6:$P$370))</f>
        <v>30 / 30</v>
      </c>
      <c r="N11" s="28" t="str">
        <f ca="1">CONCATENATE(SUMIF($F$6:$F11,$F11,$P11)," / ",SUMIF($F$6:$F$370,$F11,$P$6:$P$370))</f>
        <v>0 / 81</v>
      </c>
      <c r="O11" s="28" t="str">
        <f>CONCATENATE(SUM($P$6:$P11)," / ",SUM($P$6:$P375))</f>
        <v>30 / 528</v>
      </c>
      <c r="P11" s="244">
        <v>0</v>
      </c>
      <c r="Q11" s="28"/>
      <c r="R11" s="245">
        <v>0</v>
      </c>
      <c r="S11" s="28" t="str">
        <f>CONCATENATE(SUMIF($E$6:$E11,E11,$R$6:$R$370)," / ",SUMIF($E$6:$E$370,E11,$R$6:$R$370))</f>
        <v>0 / 0</v>
      </c>
      <c r="T11" s="28" t="str">
        <f>CONCATENATE(SUMIF($F$6:$F11,$F11,$R$6:$R$370)," / ",SUMIF($F$6:$F$370,$F11,$R$6:$R$370))</f>
        <v>0 / 0</v>
      </c>
      <c r="U11" s="28" t="str">
        <f>CONCATENATE(SUM($R$6:$R11)," / ",SUM($R$6:$R$370))</f>
        <v>0 / 0</v>
      </c>
    </row>
    <row r="12" spans="2:21" ht="13" thickBot="1">
      <c r="B12" s="399">
        <v>42376</v>
      </c>
      <c r="C12" s="35" t="str">
        <f t="shared" si="0"/>
        <v>Jeudi</v>
      </c>
      <c r="D12" s="35">
        <f t="shared" si="3"/>
        <v>7</v>
      </c>
      <c r="E12" s="124">
        <f t="shared" si="1"/>
        <v>2</v>
      </c>
      <c r="F12" s="124">
        <f t="shared" si="2"/>
        <v>1</v>
      </c>
      <c r="G12" s="270" t="s">
        <v>682</v>
      </c>
      <c r="H12" s="28" t="str">
        <f>CONCATENATE(SUMIF($E$6:$E12,$E12,$K$6:$K$370)," / ",SUMIF($E$6:$E$370,$E12,$K$6:$K$370))</f>
        <v>18 / 36</v>
      </c>
      <c r="I12" s="28" t="str">
        <f>CONCATENATE(SUMIF($F$6:$F12,$F12,$K$6:$K$370)," / ",SUMIF($F$6:$F$370,$F12,$K$6:$K$370))</f>
        <v>28 / 226,7</v>
      </c>
      <c r="J12" s="28" t="str">
        <f>CONCATENATE(SUM($K$6:$K12)," / ",SUM($K$6:$K$370))</f>
        <v>28 / 651,895</v>
      </c>
      <c r="K12" s="244">
        <v>9</v>
      </c>
      <c r="L12" s="28" t="s">
        <v>631</v>
      </c>
      <c r="M12" s="28" t="str">
        <f>CONCATENATE(SUMIF($E$6:$E12,$E12,$P$6:$P$370)," / ",SUMIF($E$6:$E$370,$E12,$P$6:$P$370))</f>
        <v>30 / 30</v>
      </c>
      <c r="N12" s="28" t="str">
        <f ca="1">CONCATENATE(SUMIF($F$6:$F12,$F12,$P12)," / ",SUMIF($F$6:$F$370,$F12,$P$6:$P$370))</f>
        <v>0 / 81</v>
      </c>
      <c r="O12" s="28" t="str">
        <f>CONCATENATE(SUM($P$6:$P12)," / ",SUM($P$6:$P376))</f>
        <v>30 / 528</v>
      </c>
      <c r="P12" s="244">
        <v>0</v>
      </c>
      <c r="Q12" s="28"/>
      <c r="R12" s="245">
        <v>0</v>
      </c>
      <c r="S12" s="28" t="str">
        <f>CONCATENATE(SUMIF($E$6:$E12,E12,$R$6:$R$370)," / ",SUMIF($E$6:$E$370,E12,$R$6:$R$370))</f>
        <v>0 / 0</v>
      </c>
      <c r="T12" s="28" t="str">
        <f>CONCATENATE(SUMIF($F$6:$F12,$F12,$R$6:$R$370)," / ",SUMIF($F$6:$F$370,$F12,$R$6:$R$370))</f>
        <v>0 / 0</v>
      </c>
      <c r="U12" s="28" t="str">
        <f>CONCATENATE(SUM($R$6:$R12)," / ",SUM($R$6:$R$370))</f>
        <v>0 / 0</v>
      </c>
    </row>
    <row r="13" spans="2:21" ht="13" thickBot="1">
      <c r="B13" s="399">
        <v>42377</v>
      </c>
      <c r="C13" s="35" t="str">
        <f t="shared" si="0"/>
        <v>Vendredi</v>
      </c>
      <c r="D13" s="35">
        <f t="shared" si="3"/>
        <v>8</v>
      </c>
      <c r="E13" s="124">
        <f t="shared" si="1"/>
        <v>2</v>
      </c>
      <c r="F13" s="124">
        <f t="shared" si="2"/>
        <v>1</v>
      </c>
      <c r="G13" s="27"/>
      <c r="H13" s="28" t="str">
        <f>CONCATENATE(SUMIF($E$6:$E13,$E13,$K$6:$K$370)," / ",SUMIF($E$6:$E$370,$E13,$K$6:$K$370))</f>
        <v>18 / 36</v>
      </c>
      <c r="I13" s="28" t="str">
        <f>CONCATENATE(SUMIF($F$6:$F13,$F13,$K$6:$K$370)," / ",SUMIF($F$6:$F$370,$F13,$K$6:$K$370))</f>
        <v>28 / 226,7</v>
      </c>
      <c r="J13" s="28" t="str">
        <f>CONCATENATE(SUM($K$6:$K13)," / ",SUM($K$6:$K$370))</f>
        <v>28 / 651,895</v>
      </c>
      <c r="K13" s="244">
        <v>0</v>
      </c>
      <c r="L13" s="28"/>
      <c r="M13" s="28" t="str">
        <f>CONCATENATE(SUMIF($E$6:$E13,$E13,$P$6:$P$370)," / ",SUMIF($E$6:$E$370,$E13,$P$6:$P$370))</f>
        <v>30 / 30</v>
      </c>
      <c r="N13" s="28" t="str">
        <f ca="1">CONCATENATE(SUMIF($F$6:$F13,$F13,$P13)," / ",SUMIF($F$6:$F$370,$F13,$P$6:$P$370))</f>
        <v>0 / 81</v>
      </c>
      <c r="O13" s="28" t="str">
        <f>CONCATENATE(SUM($P$6:$P13)," / ",SUM($P$6:$P377))</f>
        <v>30 / 528</v>
      </c>
      <c r="P13" s="244">
        <v>0</v>
      </c>
      <c r="Q13" s="28"/>
      <c r="R13" s="245">
        <v>0</v>
      </c>
      <c r="S13" s="28" t="str">
        <f>CONCATENATE(SUMIF($E$6:$E13,E13,$R$6:$R$370)," / ",SUMIF($E$6:$E$370,E13,$R$6:$R$370))</f>
        <v>0 / 0</v>
      </c>
      <c r="T13" s="28" t="str">
        <f>CONCATENATE(SUMIF($F$6:$F13,$F13,$R$6:$R$370)," / ",SUMIF($F$6:$F$370,$F13,$R$6:$R$370))</f>
        <v>0 / 0</v>
      </c>
      <c r="U13" s="28" t="str">
        <f>CONCATENATE(SUM($R$6:$R13)," / ",SUM($R$6:$R$370))</f>
        <v>0 / 0</v>
      </c>
    </row>
    <row r="14" spans="2:21" ht="13" thickBot="1">
      <c r="B14" s="399">
        <v>42378</v>
      </c>
      <c r="C14" s="35" t="str">
        <f t="shared" si="0"/>
        <v>Samedi</v>
      </c>
      <c r="D14" s="35">
        <f t="shared" si="3"/>
        <v>9</v>
      </c>
      <c r="E14" s="124">
        <f t="shared" si="1"/>
        <v>2</v>
      </c>
      <c r="F14" s="124">
        <f t="shared" si="2"/>
        <v>1</v>
      </c>
      <c r="G14" s="27" t="s">
        <v>748</v>
      </c>
      <c r="H14" s="28" t="str">
        <f>CONCATENATE(SUMIF($E$6:$E14,$E14,$K$6:$K$370)," / ",SUMIF($E$6:$E$370,$E14,$K$6:$K$370))</f>
        <v>36 / 36</v>
      </c>
      <c r="I14" s="28" t="str">
        <f>CONCATENATE(SUMIF($F$6:$F14,$F14,$K$6:$K$370)," / ",SUMIF($F$6:$F$370,$F14,$K$6:$K$370))</f>
        <v>46 / 226,7</v>
      </c>
      <c r="J14" s="28" t="str">
        <f>CONCATENATE(SUM($K$6:$K14)," / ",SUM($K$6:$K$370))</f>
        <v>46 / 651,895</v>
      </c>
      <c r="K14" s="244">
        <v>18</v>
      </c>
      <c r="L14" s="28" t="s">
        <v>575</v>
      </c>
      <c r="M14" s="28" t="str">
        <f>CONCATENATE(SUMIF($E$6:$E14,$E14,$P$6:$P$370)," / ",SUMIF($E$6:$E$370,$E14,$P$6:$P$370))</f>
        <v>30 / 30</v>
      </c>
      <c r="N14" s="28" t="str">
        <f ca="1">CONCATENATE(SUMIF($F$6:$F14,$F14,$P14)," / ",SUMIF($F$6:$F$370,$F14,$P$6:$P$370))</f>
        <v>0 / 81</v>
      </c>
      <c r="O14" s="28" t="str">
        <f>CONCATENATE(SUM($P$6:$P14)," / ",SUM($P$6:$P378))</f>
        <v>30 / 528</v>
      </c>
      <c r="P14" s="244">
        <v>0</v>
      </c>
      <c r="Q14" s="28"/>
      <c r="R14" s="245">
        <v>0</v>
      </c>
      <c r="S14" s="28" t="str">
        <f>CONCATENATE(SUMIF($E$6:$E14,E14,$R$6:$R$370)," / ",SUMIF($E$6:$E$370,E14,$R$6:$R$370))</f>
        <v>0 / 0</v>
      </c>
      <c r="T14" s="28" t="str">
        <f>CONCATENATE(SUMIF($F$6:$F14,$F14,$R$6:$R$370)," / ",SUMIF($F$6:$F$370,$F14,$R$6:$R$370))</f>
        <v>0 / 0</v>
      </c>
      <c r="U14" s="28" t="str">
        <f>CONCATENATE(SUM($R$6:$R14)," / ",SUM($R$6:$R$370))</f>
        <v>0 / 0</v>
      </c>
    </row>
    <row r="15" spans="2:21" ht="13" thickBot="1">
      <c r="B15" s="399">
        <v>42379</v>
      </c>
      <c r="C15" s="35" t="str">
        <f t="shared" si="0"/>
        <v>Dimanche</v>
      </c>
      <c r="D15" s="35">
        <f t="shared" si="3"/>
        <v>10</v>
      </c>
      <c r="E15" s="124">
        <f t="shared" si="1"/>
        <v>3</v>
      </c>
      <c r="F15" s="124">
        <f t="shared" si="2"/>
        <v>1</v>
      </c>
      <c r="G15" s="27"/>
      <c r="H15" s="28" t="str">
        <f>CONCATENATE(SUMIF($E$6:$E15,$E15,$K$6:$K$370)," / ",SUMIF($E$6:$E$370,$E15,$K$6:$K$370))</f>
        <v>0 / 33,7</v>
      </c>
      <c r="I15" s="28" t="str">
        <f>CONCATENATE(SUMIF($F$6:$F15,$F15,$K$6:$K$370)," / ",SUMIF($F$6:$F$370,$F15,$K$6:$K$370))</f>
        <v>46 / 226,7</v>
      </c>
      <c r="J15" s="28" t="str">
        <f>CONCATENATE(SUM($K$6:$K15)," / ",SUM($K$6:$K$370))</f>
        <v>46 / 651,895</v>
      </c>
      <c r="K15" s="244">
        <v>0</v>
      </c>
      <c r="L15" s="28"/>
      <c r="M15" s="28" t="str">
        <f>CONCATENATE(SUMIF($E$6:$E15,$E15,$P$6:$P$370)," / ",SUMIF($E$6:$E$370,$E15,$P$6:$P$370))</f>
        <v>0 / 0</v>
      </c>
      <c r="N15" s="28" t="str">
        <f ca="1">CONCATENATE(SUMIF($F$6:$F15,$F15,$P15)," / ",SUMIF($F$6:$F$370,$F15,$P$6:$P$370))</f>
        <v>0 / 81</v>
      </c>
      <c r="O15" s="28" t="str">
        <f>CONCATENATE(SUM($P$6:$P15)," / ",SUM($P$6:$P379))</f>
        <v>30 / 528</v>
      </c>
      <c r="P15" s="244">
        <v>0</v>
      </c>
      <c r="Q15" s="28"/>
      <c r="R15" s="245">
        <v>0</v>
      </c>
      <c r="S15" s="28" t="str">
        <f>CONCATENATE(SUMIF($E$6:$E15,E15,$R$6:$R$370)," / ",SUMIF($E$6:$E$370,E15,$R$6:$R$370))</f>
        <v>0 / 0</v>
      </c>
      <c r="T15" s="28" t="str">
        <f>CONCATENATE(SUMIF($F$6:$F15,$F15,$R$6:$R$370)," / ",SUMIF($F$6:$F$370,$F15,$R$6:$R$370))</f>
        <v>0 / 0</v>
      </c>
      <c r="U15" s="28" t="str">
        <f>CONCATENATE(SUM($R$6:$R15)," / ",SUM($R$6:$R$370))</f>
        <v>0 / 0</v>
      </c>
    </row>
    <row r="16" spans="2:21" ht="13" thickBot="1">
      <c r="B16" s="399">
        <v>42380</v>
      </c>
      <c r="C16" s="35" t="str">
        <f t="shared" si="0"/>
        <v>Lundi</v>
      </c>
      <c r="D16" s="35">
        <f t="shared" si="3"/>
        <v>11</v>
      </c>
      <c r="E16" s="124">
        <f t="shared" si="1"/>
        <v>3</v>
      </c>
      <c r="F16" s="124">
        <f t="shared" si="2"/>
        <v>1</v>
      </c>
      <c r="G16" s="27"/>
      <c r="H16" s="28" t="str">
        <f>CONCATENATE(SUMIF($E$6:$E16,$E16,$K$6:$K$370)," / ",SUMIF($E$6:$E$370,$E16,$K$6:$K$370))</f>
        <v>0 / 33,7</v>
      </c>
      <c r="I16" s="28" t="str">
        <f>CONCATENATE(SUMIF($F$6:$F16,$F16,$K$6:$K$370)," / ",SUMIF($F$6:$F$370,$F16,$K$6:$K$370))</f>
        <v>46 / 226,7</v>
      </c>
      <c r="J16" s="28" t="str">
        <f>CONCATENATE(SUM($K$6:$K16)," / ",SUM($K$6:$K$370))</f>
        <v>46 / 651,895</v>
      </c>
      <c r="K16" s="244">
        <v>0</v>
      </c>
      <c r="L16" s="28"/>
      <c r="M16" s="28" t="str">
        <f>CONCATENATE(SUMIF($E$6:$E16,$E16,$P$6:$P$370)," / ",SUMIF($E$6:$E$370,$E16,$P$6:$P$370))</f>
        <v>0 / 0</v>
      </c>
      <c r="N16" s="28" t="str">
        <f ca="1">CONCATENATE(SUMIF($F$6:$F16,$F16,$P16)," / ",SUMIF($F$6:$F$370,$F16,$P$6:$P$370))</f>
        <v>0 / 81</v>
      </c>
      <c r="O16" s="28" t="str">
        <f>CONCATENATE(SUM($P$6:$P16)," / ",SUM($P$6:$P380))</f>
        <v>30 / 528</v>
      </c>
      <c r="P16" s="244">
        <v>0</v>
      </c>
      <c r="Q16" s="28"/>
      <c r="R16" s="245">
        <v>0</v>
      </c>
      <c r="S16" s="28" t="str">
        <f>CONCATENATE(SUMIF($E$6:$E16,E16,$R$6:$R$370)," / ",SUMIF($E$6:$E$370,E16,$R$6:$R$370))</f>
        <v>0 / 0</v>
      </c>
      <c r="T16" s="28" t="str">
        <f>CONCATENATE(SUMIF($F$6:$F16,$F16,$R$6:$R$370)," / ",SUMIF($F$6:$F$370,$F16,$R$6:$R$370))</f>
        <v>0 / 0</v>
      </c>
      <c r="U16" s="28" t="str">
        <f>CONCATENATE(SUM($R$6:$R16)," / ",SUM($R$6:$R$370))</f>
        <v>0 / 0</v>
      </c>
    </row>
    <row r="17" spans="2:21" ht="13" thickBot="1">
      <c r="B17" s="399">
        <v>42381</v>
      </c>
      <c r="C17" s="35" t="str">
        <f t="shared" si="0"/>
        <v>Mardi</v>
      </c>
      <c r="D17" s="35">
        <f t="shared" si="3"/>
        <v>12</v>
      </c>
      <c r="E17" s="124">
        <f t="shared" si="1"/>
        <v>3</v>
      </c>
      <c r="F17" s="124">
        <f t="shared" si="2"/>
        <v>1</v>
      </c>
      <c r="G17" s="27" t="s">
        <v>747</v>
      </c>
      <c r="H17" s="28" t="str">
        <f>CONCATENATE(SUMIF($E$6:$E17,$E17,$K$6:$K$370)," / ",SUMIF($E$6:$E$370,$E17,$K$6:$K$370))</f>
        <v>9 / 33,7</v>
      </c>
      <c r="I17" s="28" t="str">
        <f>CONCATENATE(SUMIF($F$6:$F17,$F17,$K$6:$K$370)," / ",SUMIF($F$6:$F$370,$F17,$K$6:$K$370))</f>
        <v>55 / 226,7</v>
      </c>
      <c r="J17" s="28" t="str">
        <f>CONCATENATE(SUM($K$6:$K17)," / ",SUM($K$6:$K$370))</f>
        <v>55 / 651,895</v>
      </c>
      <c r="K17" s="244">
        <v>9</v>
      </c>
      <c r="L17" s="28" t="s">
        <v>575</v>
      </c>
      <c r="M17" s="28" t="str">
        <f>CONCATENATE(SUMIF($E$6:$E17,$E17,$P$6:$P$370)," / ",SUMIF($E$6:$E$370,$E17,$P$6:$P$370))</f>
        <v>0 / 0</v>
      </c>
      <c r="N17" s="28" t="str">
        <f ca="1">CONCATENATE(SUMIF($F$6:$F17,$F17,$P17)," / ",SUMIF($F$6:$F$370,$F17,$P$6:$P$370))</f>
        <v>0 / 81</v>
      </c>
      <c r="O17" s="28" t="str">
        <f>CONCATENATE(SUM($P$6:$P17)," / ",SUM($P$6:$P381))</f>
        <v>30 / 528</v>
      </c>
      <c r="P17" s="244">
        <v>0</v>
      </c>
      <c r="Q17" s="28"/>
      <c r="R17" s="245">
        <v>0</v>
      </c>
      <c r="S17" s="28" t="str">
        <f>CONCATENATE(SUMIF($E$6:$E17,E17,$R$6:$R$370)," / ",SUMIF($E$6:$E$370,E17,$R$6:$R$370))</f>
        <v>0 / 0</v>
      </c>
      <c r="T17" s="28" t="str">
        <f>CONCATENATE(SUMIF($F$6:$F17,$F17,$R$6:$R$370)," / ",SUMIF($F$6:$F$370,$F17,$R$6:$R$370))</f>
        <v>0 / 0</v>
      </c>
      <c r="U17" s="28" t="str">
        <f>CONCATENATE(SUM($R$6:$R17)," / ",SUM($R$6:$R$370))</f>
        <v>0 / 0</v>
      </c>
    </row>
    <row r="18" spans="2:21" ht="13" thickBot="1">
      <c r="B18" s="399">
        <v>42382</v>
      </c>
      <c r="C18" s="35" t="str">
        <f t="shared" si="0"/>
        <v>Mercredi</v>
      </c>
      <c r="D18" s="35">
        <f t="shared" si="3"/>
        <v>13</v>
      </c>
      <c r="E18" s="124">
        <f t="shared" si="1"/>
        <v>3</v>
      </c>
      <c r="F18" s="124">
        <f t="shared" si="2"/>
        <v>1</v>
      </c>
      <c r="G18" s="27"/>
      <c r="H18" s="28" t="str">
        <f>CONCATENATE(SUMIF($E$6:$E18,$E18,$K$6:$K$370)," / ",SUMIF($E$6:$E$370,$E18,$K$6:$K$370))</f>
        <v>9 / 33,7</v>
      </c>
      <c r="I18" s="28" t="str">
        <f>CONCATENATE(SUMIF($F$6:$F18,$F18,$K$6:$K$370)," / ",SUMIF($F$6:$F$370,$F18,$K$6:$K$370))</f>
        <v>55 / 226,7</v>
      </c>
      <c r="J18" s="28" t="str">
        <f>CONCATENATE(SUM($K$6:$K18)," / ",SUM($K$6:$K$370))</f>
        <v>55 / 651,895</v>
      </c>
      <c r="K18" s="244">
        <v>0</v>
      </c>
      <c r="L18" s="28"/>
      <c r="M18" s="28" t="str">
        <f>CONCATENATE(SUMIF($E$6:$E18,$E18,$P$6:$P$370)," / ",SUMIF($E$6:$E$370,$E18,$P$6:$P$370))</f>
        <v>0 / 0</v>
      </c>
      <c r="N18" s="28" t="str">
        <f ca="1">CONCATENATE(SUMIF($F$6:$F18,$F18,$P18)," / ",SUMIF($F$6:$F$370,$F18,$P$6:$P$370))</f>
        <v>51 / 81</v>
      </c>
      <c r="O18" s="28" t="str">
        <f>CONCATENATE(SUM($P$6:$P18)," / ",SUM($P$6:$P382))</f>
        <v>30 / 528</v>
      </c>
      <c r="P18" s="244">
        <v>0</v>
      </c>
      <c r="Q18" s="28"/>
      <c r="R18" s="245">
        <v>0</v>
      </c>
      <c r="S18" s="28" t="str">
        <f>CONCATENATE(SUMIF($E$6:$E18,E18,$R$6:$R$370)," / ",SUMIF($E$6:$E$370,E18,$R$6:$R$370))</f>
        <v>0 / 0</v>
      </c>
      <c r="T18" s="28" t="str">
        <f>CONCATENATE(SUMIF($F$6:$F18,$F18,$R$6:$R$370)," / ",SUMIF($F$6:$F$370,$F18,$R$6:$R$370))</f>
        <v>0 / 0</v>
      </c>
      <c r="U18" s="28" t="str">
        <f>CONCATENATE(SUM($R$6:$R18)," / ",SUM($R$6:$R$370))</f>
        <v>0 / 0</v>
      </c>
    </row>
    <row r="19" spans="2:21" ht="13" thickBot="1">
      <c r="B19" s="399">
        <v>42383</v>
      </c>
      <c r="C19" s="35" t="str">
        <f t="shared" si="0"/>
        <v>Jeudi</v>
      </c>
      <c r="D19" s="35">
        <f t="shared" si="3"/>
        <v>14</v>
      </c>
      <c r="E19" s="124">
        <f t="shared" si="1"/>
        <v>3</v>
      </c>
      <c r="F19" s="124">
        <f t="shared" si="2"/>
        <v>1</v>
      </c>
      <c r="G19" s="27" t="s">
        <v>746</v>
      </c>
      <c r="H19" s="28" t="str">
        <f>CONCATENATE(SUMIF($E$6:$E19,$E19,$K$6:$K$370)," / ",SUMIF($E$6:$E$370,$E19,$K$6:$K$370))</f>
        <v>21,7 / 33,7</v>
      </c>
      <c r="I19" s="28" t="str">
        <f>CONCATENATE(SUMIF($F$6:$F19,$F19,$K$6:$K$370)," / ",SUMIF($F$6:$F$370,$F19,$K$6:$K$370))</f>
        <v>67,7 / 226,7</v>
      </c>
      <c r="J19" s="28" t="str">
        <f>CONCATENATE(SUM($K$6:$K19)," / ",SUM($K$6:$K$370))</f>
        <v>67,7 / 651,895</v>
      </c>
      <c r="K19" s="244">
        <v>12.7</v>
      </c>
      <c r="L19" s="28" t="s">
        <v>575</v>
      </c>
      <c r="M19" s="28" t="str">
        <f>CONCATENATE(SUMIF($E$6:$E19,$E19,$P$6:$P$370)," / ",SUMIF($E$6:$E$370,$E19,$P$6:$P$370))</f>
        <v>0 / 0</v>
      </c>
      <c r="N19" s="28" t="str">
        <f ca="1">CONCATENATE(SUMIF($F$6:$F19,$F19,$P19)," / ",SUMIF($F$6:$F$370,$F19,$P$6:$P$370))</f>
        <v>51 / 81</v>
      </c>
      <c r="O19" s="28" t="str">
        <f>CONCATENATE(SUM($P$6:$P19)," / ",SUM($P$6:$P383))</f>
        <v>30 / 528</v>
      </c>
      <c r="P19" s="244">
        <v>0</v>
      </c>
      <c r="Q19" s="28"/>
      <c r="R19" s="245">
        <v>0</v>
      </c>
      <c r="S19" s="28" t="str">
        <f>CONCATENATE(SUMIF($E$6:$E19,E19,$R$6:$R$370)," / ",SUMIF($E$6:$E$370,E19,$R$6:$R$370))</f>
        <v>0 / 0</v>
      </c>
      <c r="T19" s="28" t="str">
        <f>CONCATENATE(SUMIF($F$6:$F19,$F19,$R$6:$R$370)," / ",SUMIF($F$6:$F$370,$F19,$R$6:$R$370))</f>
        <v>0 / 0</v>
      </c>
      <c r="U19" s="28" t="str">
        <f>CONCATENATE(SUM($R$6:$R19)," / ",SUM($R$6:$R$370))</f>
        <v>0 / 0</v>
      </c>
    </row>
    <row r="20" spans="2:21" ht="13" thickBot="1">
      <c r="B20" s="399">
        <v>42384</v>
      </c>
      <c r="C20" s="35" t="str">
        <f t="shared" si="0"/>
        <v>Vendredi</v>
      </c>
      <c r="D20" s="35">
        <f t="shared" si="3"/>
        <v>15</v>
      </c>
      <c r="E20" s="124">
        <f t="shared" si="1"/>
        <v>3</v>
      </c>
      <c r="F20" s="124">
        <f t="shared" si="2"/>
        <v>1</v>
      </c>
      <c r="G20" s="27"/>
      <c r="H20" s="28" t="str">
        <f>CONCATENATE(SUMIF($E$6:$E20,$E20,$K$6:$K$370)," / ",SUMIF($E$6:$E$370,$E20,$K$6:$K$370))</f>
        <v>21,7 / 33,7</v>
      </c>
      <c r="I20" s="28" t="str">
        <f>CONCATENATE(SUMIF($F$6:$F20,$F20,$K$6:$K$370)," / ",SUMIF($F$6:$F$370,$F20,$K$6:$K$370))</f>
        <v>67,7 / 226,7</v>
      </c>
      <c r="J20" s="28" t="str">
        <f>CONCATENATE(SUM($K$6:$K20)," / ",SUM($K$6:$K$370))</f>
        <v>67,7 / 651,895</v>
      </c>
      <c r="K20" s="244">
        <v>0</v>
      </c>
      <c r="L20" s="28"/>
      <c r="M20" s="28" t="str">
        <f>CONCATENATE(SUMIF($E$6:$E20,$E20,$P$6:$P$370)," / ",SUMIF($E$6:$E$370,$E20,$P$6:$P$370))</f>
        <v>0 / 0</v>
      </c>
      <c r="N20" s="28" t="str">
        <f ca="1">CONCATENATE(SUMIF($F$6:$F20,$F20,$P20)," / ",SUMIF($F$6:$F$370,$F20,$P$6:$P$370))</f>
        <v>51 / 81</v>
      </c>
      <c r="O20" s="28" t="str">
        <f>CONCATENATE(SUM($P$6:$P20)," / ",SUM($P$6:$P384))</f>
        <v>30 / 528</v>
      </c>
      <c r="P20" s="244">
        <v>0</v>
      </c>
      <c r="Q20" s="28"/>
      <c r="R20" s="245">
        <v>0</v>
      </c>
      <c r="S20" s="28" t="str">
        <f>CONCATENATE(SUMIF($E$6:$E20,E20,$R$6:$R$370)," / ",SUMIF($E$6:$E$370,E20,$R$6:$R$370))</f>
        <v>0 / 0</v>
      </c>
      <c r="T20" s="28" t="str">
        <f>CONCATENATE(SUMIF($F$6:$F20,$F20,$R$6:$R$370)," / ",SUMIF($F$6:$F$370,$F20,$R$6:$R$370))</f>
        <v>0 / 0</v>
      </c>
      <c r="U20" s="28" t="str">
        <f>CONCATENATE(SUM($R$6:$R20)," / ",SUM($R$6:$R$370))</f>
        <v>0 / 0</v>
      </c>
    </row>
    <row r="21" spans="2:21" ht="13" thickBot="1">
      <c r="B21" s="399">
        <v>42385</v>
      </c>
      <c r="C21" s="35" t="str">
        <f t="shared" si="0"/>
        <v>Samedi</v>
      </c>
      <c r="D21" s="35">
        <f t="shared" si="3"/>
        <v>16</v>
      </c>
      <c r="E21" s="124">
        <f t="shared" si="1"/>
        <v>3</v>
      </c>
      <c r="F21" s="124">
        <f t="shared" si="2"/>
        <v>1</v>
      </c>
      <c r="G21" s="27" t="s">
        <v>745</v>
      </c>
      <c r="H21" s="28" t="str">
        <f>CONCATENATE(SUMIF($E$6:$E21,$E21,$K$6:$K$370)," / ",SUMIF($E$6:$E$370,$E21,$K$6:$K$370))</f>
        <v>33,7 / 33,7</v>
      </c>
      <c r="I21" s="28" t="str">
        <f>CONCATENATE(SUMIF($F$6:$F21,$F21,$K$6:$K$370)," / ",SUMIF($F$6:$F$370,$F21,$K$6:$K$370))</f>
        <v>79,7 / 226,7</v>
      </c>
      <c r="J21" s="28" t="str">
        <f>CONCATENATE(SUM($K$6:$K21)," / ",SUM($K$6:$K$370))</f>
        <v>79,7 / 651,895</v>
      </c>
      <c r="K21" s="244">
        <v>12</v>
      </c>
      <c r="L21" s="28" t="s">
        <v>575</v>
      </c>
      <c r="M21" s="28" t="str">
        <f>CONCATENATE(SUMIF($E$6:$E21,$E21,$P$6:$P$370)," / ",SUMIF($E$6:$E$370,$E21,$P$6:$P$370))</f>
        <v>0 / 0</v>
      </c>
      <c r="N21" s="28" t="str">
        <f ca="1">CONCATENATE(SUMIF($F$6:$F21,$F21,$P21)," / ",SUMIF($F$6:$F$370,$F21,$P$6:$P$370))</f>
        <v>51 / 81</v>
      </c>
      <c r="O21" s="28" t="str">
        <f>CONCATENATE(SUM($P$6:$P21)," / ",SUM($P$6:$P385))</f>
        <v>30 / 528</v>
      </c>
      <c r="P21" s="244">
        <v>0</v>
      </c>
      <c r="Q21" s="28"/>
      <c r="R21" s="245">
        <v>0</v>
      </c>
      <c r="S21" s="28" t="str">
        <f>CONCATENATE(SUMIF($E$6:$E21,E21,$R$6:$R$370)," / ",SUMIF($E$6:$E$370,E21,$R$6:$R$370))</f>
        <v>0 / 0</v>
      </c>
      <c r="T21" s="28" t="str">
        <f>CONCATENATE(SUMIF($F$6:$F21,$F21,$R$6:$R$370)," / ",SUMIF($F$6:$F$370,$F21,$R$6:$R$370))</f>
        <v>0 / 0</v>
      </c>
      <c r="U21" s="28" t="str">
        <f>CONCATENATE(SUM($R$6:$R21)," / ",SUM($R$6:$R$370))</f>
        <v>0 / 0</v>
      </c>
    </row>
    <row r="22" spans="2:21" ht="13" thickBot="1">
      <c r="B22" s="399">
        <v>42386</v>
      </c>
      <c r="C22" s="35" t="str">
        <f t="shared" si="0"/>
        <v>Dimanche</v>
      </c>
      <c r="D22" s="35">
        <f t="shared" si="3"/>
        <v>17</v>
      </c>
      <c r="E22" s="124">
        <f t="shared" si="1"/>
        <v>4</v>
      </c>
      <c r="F22" s="124">
        <f t="shared" si="2"/>
        <v>1</v>
      </c>
      <c r="G22" s="27" t="s">
        <v>749</v>
      </c>
      <c r="H22" s="28" t="str">
        <f>CONCATENATE(SUMIF($E$6:$E22,$E22,$K$6:$K$370)," / ",SUMIF($E$6:$E$370,$E22,$K$6:$K$370))</f>
        <v>18 / 49</v>
      </c>
      <c r="I22" s="28" t="str">
        <f>CONCATENATE(SUMIF($F$6:$F22,$F22,$K$6:$K$370)," / ",SUMIF($F$6:$F$370,$F22,$K$6:$K$370))</f>
        <v>97,7 / 226,7</v>
      </c>
      <c r="J22" s="28" t="str">
        <f>CONCATENATE(SUM($K$6:$K22)," / ",SUM($K$6:$K$370))</f>
        <v>97,7 / 651,895</v>
      </c>
      <c r="K22" s="244">
        <v>18</v>
      </c>
      <c r="L22" s="28" t="s">
        <v>575</v>
      </c>
      <c r="M22" s="28" t="str">
        <f>CONCATENATE(SUMIF($E$6:$E22,$E22,$P$6:$P$370)," / ",SUMIF($E$6:$E$370,$E22,$P$6:$P$370))</f>
        <v>0 / 0</v>
      </c>
      <c r="N22" s="28" t="str">
        <f ca="1">CONCATENATE(SUMIF($F$6:$F22,$F22,$P22)," / ",SUMIF($F$6:$F$370,$F22,$P$6:$P$370))</f>
        <v>51 / 81</v>
      </c>
      <c r="O22" s="28" t="str">
        <f>CONCATENATE(SUM($P$6:$P22)," / ",SUM($P$6:$P386))</f>
        <v>30 / 528</v>
      </c>
      <c r="P22" s="244">
        <v>0</v>
      </c>
      <c r="Q22" s="28"/>
      <c r="R22" s="245">
        <v>0</v>
      </c>
      <c r="S22" s="28" t="str">
        <f>CONCATENATE(SUMIF($E$6:$E22,E22,$R$6:$R$370)," / ",SUMIF($E$6:$E$370,E22,$R$6:$R$370))</f>
        <v>0 / 0</v>
      </c>
      <c r="T22" s="28" t="str">
        <f>CONCATENATE(SUMIF($F$6:$F22,$F22,$R$6:$R$370)," / ",SUMIF($F$6:$F$370,$F22,$R$6:$R$370))</f>
        <v>0 / 0</v>
      </c>
      <c r="U22" s="28" t="str">
        <f>CONCATENATE(SUM($R$6:$R22)," / ",SUM($R$6:$R$370))</f>
        <v>0 / 0</v>
      </c>
    </row>
    <row r="23" spans="2:21" ht="13" thickBot="1">
      <c r="B23" s="399">
        <v>42387</v>
      </c>
      <c r="C23" s="35" t="str">
        <f t="shared" si="0"/>
        <v>Lundi</v>
      </c>
      <c r="D23" s="35">
        <f t="shared" si="3"/>
        <v>18</v>
      </c>
      <c r="E23" s="124">
        <f t="shared" si="1"/>
        <v>4</v>
      </c>
      <c r="F23" s="124">
        <f t="shared" si="2"/>
        <v>1</v>
      </c>
      <c r="G23" s="27"/>
      <c r="H23" s="28" t="str">
        <f>CONCATENATE(SUMIF($E$6:$E23,$E23,$K$6:$K$370)," / ",SUMIF($E$6:$E$370,$E23,$K$6:$K$370))</f>
        <v>18 / 49</v>
      </c>
      <c r="I23" s="28" t="str">
        <f>CONCATENATE(SUMIF($F$6:$F23,$F23,$K$6:$K$370)," / ",SUMIF($F$6:$F$370,$F23,$K$6:$K$370))</f>
        <v>97,7 / 226,7</v>
      </c>
      <c r="J23" s="28" t="str">
        <f>CONCATENATE(SUM($K$6:$K23)," / ",SUM($K$6:$K$370))</f>
        <v>97,7 / 651,895</v>
      </c>
      <c r="K23" s="244">
        <v>0</v>
      </c>
      <c r="L23" s="28"/>
      <c r="M23" s="28" t="str">
        <f>CONCATENATE(SUMIF($E$6:$E23,$E23,$P$6:$P$370)," / ",SUMIF($E$6:$E$370,$E23,$P$6:$P$370))</f>
        <v>0 / 0</v>
      </c>
      <c r="N23" s="28" t="str">
        <f ca="1">CONCATENATE(SUMIF($F$6:$F23,$F23,$P23)," / ",SUMIF($F$6:$F$370,$F23,$P$6:$P$370))</f>
        <v>51 / 81</v>
      </c>
      <c r="O23" s="28" t="str">
        <f>CONCATENATE(SUM($P$6:$P23)," / ",SUM($P$6:$P387))</f>
        <v>30 / 528</v>
      </c>
      <c r="P23" s="244">
        <v>0</v>
      </c>
      <c r="Q23" s="28"/>
      <c r="R23" s="245">
        <v>0</v>
      </c>
      <c r="S23" s="28" t="str">
        <f>CONCATENATE(SUMIF($E$6:$E23,E23,$R$6:$R$370)," / ",SUMIF($E$6:$E$370,E23,$R$6:$R$370))</f>
        <v>0 / 0</v>
      </c>
      <c r="T23" s="28" t="str">
        <f>CONCATENATE(SUMIF($F$6:$F23,$F23,$R$6:$R$370)," / ",SUMIF($F$6:$F$370,$F23,$R$6:$R$370))</f>
        <v>0 / 0</v>
      </c>
      <c r="U23" s="28" t="str">
        <f>CONCATENATE(SUM($R$6:$R23)," / ",SUM($R$6:$R$370))</f>
        <v>0 / 0</v>
      </c>
    </row>
    <row r="24" spans="2:21" ht="13" thickBot="1">
      <c r="B24" s="399">
        <v>42388</v>
      </c>
      <c r="C24" s="35" t="str">
        <f t="shared" si="0"/>
        <v>Mardi</v>
      </c>
      <c r="D24" s="35">
        <f t="shared" si="3"/>
        <v>19</v>
      </c>
      <c r="E24" s="124">
        <f t="shared" si="1"/>
        <v>4</v>
      </c>
      <c r="F24" s="124">
        <f t="shared" si="2"/>
        <v>1</v>
      </c>
      <c r="G24" s="27"/>
      <c r="H24" s="28" t="str">
        <f>CONCATENATE(SUMIF($E$6:$E24,$E24,$K$6:$K$370)," / ",SUMIF($E$6:$E$370,$E24,$K$6:$K$370))</f>
        <v>18 / 49</v>
      </c>
      <c r="I24" s="28" t="str">
        <f>CONCATENATE(SUMIF($F$6:$F24,$F24,$K$6:$K$370)," / ",SUMIF($F$6:$F$370,$F24,$K$6:$K$370))</f>
        <v>97,7 / 226,7</v>
      </c>
      <c r="J24" s="28" t="str">
        <f>CONCATENATE(SUM($K$6:$K24)," / ",SUM($K$6:$K$370))</f>
        <v>97,7 / 651,895</v>
      </c>
      <c r="K24" s="244">
        <v>0</v>
      </c>
      <c r="L24" s="28"/>
      <c r="M24" s="28" t="str">
        <f>CONCATENATE(SUMIF($E$6:$E24,$E24,$P$6:$P$370)," / ",SUMIF($E$6:$E$370,$E24,$P$6:$P$370))</f>
        <v>0 / 0</v>
      </c>
      <c r="N24" s="28" t="str">
        <f ca="1">CONCATENATE(SUMIF($F$6:$F24,$F24,$P24)," / ",SUMIF($F$6:$F$370,$F24,$P$6:$P$370))</f>
        <v>81 / 81</v>
      </c>
      <c r="O24" s="28" t="str">
        <f>CONCATENATE(SUM($P$6:$P24)," / ",SUM($P$6:$P388))</f>
        <v>30 / 528</v>
      </c>
      <c r="P24" s="244">
        <v>0</v>
      </c>
      <c r="Q24" s="28"/>
      <c r="R24" s="245">
        <v>0</v>
      </c>
      <c r="S24" s="28" t="str">
        <f>CONCATENATE(SUMIF($E$6:$E24,E24,$R$6:$R$370)," / ",SUMIF($E$6:$E$370,E24,$R$6:$R$370))</f>
        <v>0 / 0</v>
      </c>
      <c r="T24" s="28" t="str">
        <f>CONCATENATE(SUMIF($F$6:$F24,$F24,$R$6:$R$370)," / ",SUMIF($F$6:$F$370,$F24,$R$6:$R$370))</f>
        <v>0 / 0</v>
      </c>
      <c r="U24" s="28" t="str">
        <f>CONCATENATE(SUM($R$6:$R24)," / ",SUM($R$6:$R$370))</f>
        <v>0 / 0</v>
      </c>
    </row>
    <row r="25" spans="2:21" ht="13" thickBot="1">
      <c r="B25" s="399">
        <v>42389</v>
      </c>
      <c r="C25" s="35" t="str">
        <f t="shared" si="0"/>
        <v>Mercredi</v>
      </c>
      <c r="D25" s="35">
        <f t="shared" si="3"/>
        <v>20</v>
      </c>
      <c r="E25" s="124">
        <f t="shared" si="1"/>
        <v>4</v>
      </c>
      <c r="F25" s="124">
        <f t="shared" si="2"/>
        <v>1</v>
      </c>
      <c r="G25" s="27" t="s">
        <v>1492</v>
      </c>
      <c r="H25" s="28" t="str">
        <f>CONCATENATE(SUMIF($E$6:$E25,$E25,$K$6:$K$370)," / ",SUMIF($E$6:$E$370,$E25,$K$6:$K$370))</f>
        <v>18 / 49</v>
      </c>
      <c r="I25" s="28" t="str">
        <f>CONCATENATE(SUMIF($F$6:$F25,$F25,$K$6:$K$370)," / ",SUMIF($F$6:$F$370,$F25,$K$6:$K$370))</f>
        <v>97,7 / 226,7</v>
      </c>
      <c r="J25" s="28" t="str">
        <f>CONCATENATE(SUM($K$6:$K25)," / ",SUM($K$6:$K$370))</f>
        <v>97,7 / 651,895</v>
      </c>
      <c r="K25" s="244">
        <v>0</v>
      </c>
      <c r="L25" s="28" t="s">
        <v>575</v>
      </c>
      <c r="M25" s="28" t="str">
        <f>CONCATENATE(SUMIF($E$6:$E25,$E25,$P$6:$P$370)," / ",SUMIF($E$6:$E$370,$E25,$P$6:$P$370))</f>
        <v>0 / 0</v>
      </c>
      <c r="N25" s="28" t="str">
        <f ca="1">CONCATENATE(SUMIF($F$6:$F25,$F25,$P25)," / ",SUMIF($F$6:$F$370,$F25,$P$6:$P$370))</f>
        <v>157 / 81</v>
      </c>
      <c r="O25" s="28" t="str">
        <f>CONCATENATE(SUM($P$6:$P25)," / ",SUM($P$6:$P389))</f>
        <v>30 / 528</v>
      </c>
      <c r="P25" s="244">
        <v>0</v>
      </c>
      <c r="Q25" s="28"/>
      <c r="R25" s="245">
        <v>0</v>
      </c>
      <c r="S25" s="28" t="str">
        <f>CONCATENATE(SUMIF($E$6:$E25,E25,$R$6:$R$370)," / ",SUMIF($E$6:$E$370,E25,$R$6:$R$370))</f>
        <v>0 / 0</v>
      </c>
      <c r="T25" s="28" t="str">
        <f>CONCATENATE(SUMIF($F$6:$F25,$F25,$R$6:$R$370)," / ",SUMIF($F$6:$F$370,$F25,$R$6:$R$370))</f>
        <v>0 / 0</v>
      </c>
      <c r="U25" s="28" t="str">
        <f>CONCATENATE(SUM($R$6:$R25)," / ",SUM($R$6:$R$370))</f>
        <v>0 / 0</v>
      </c>
    </row>
    <row r="26" spans="2:21" ht="13" thickBot="1">
      <c r="B26" s="399">
        <v>42390</v>
      </c>
      <c r="C26" s="35" t="str">
        <f t="shared" si="0"/>
        <v>Jeudi</v>
      </c>
      <c r="D26" s="35">
        <f t="shared" si="3"/>
        <v>21</v>
      </c>
      <c r="E26" s="124">
        <f t="shared" si="1"/>
        <v>4</v>
      </c>
      <c r="F26" s="124">
        <f t="shared" ref="F26" si="4">MONTH(B26)</f>
        <v>1</v>
      </c>
      <c r="G26" s="27" t="s">
        <v>1491</v>
      </c>
      <c r="H26" s="28" t="str">
        <f>CONCATENATE(SUMIF($E$6:$E26,$E26,$K$6:$K$370)," / ",SUMIF($E$6:$E$370,$E26,$K$6:$K$370))</f>
        <v>30 / 49</v>
      </c>
      <c r="I26" s="28" t="str">
        <f>CONCATENATE(SUMIF($F$6:$F26,$F26,$K$6:$K$370)," / ",SUMIF($F$6:$F$370,$F26,$K$6:$K$370))</f>
        <v>109,7 / 226,7</v>
      </c>
      <c r="J26" s="28" t="str">
        <f>CONCATENATE(SUM($K$6:$K26)," / ",SUM($K$6:$K$370))</f>
        <v>109,7 / 651,895</v>
      </c>
      <c r="K26" s="244">
        <v>12</v>
      </c>
      <c r="L26" s="28" t="s">
        <v>575</v>
      </c>
      <c r="M26" s="28" t="str">
        <f>CONCATENATE(SUMIF($E$6:$E26,$E26,$P$6:$P$370)," / ",SUMIF($E$6:$E$370,$E26,$P$6:$P$370))</f>
        <v>0 / 0</v>
      </c>
      <c r="N26" s="28" t="str">
        <f ca="1">CONCATENATE(SUMIF($F$6:$F26,$F26,$P26)," / ",SUMIF($F$6:$F$370,$F26,$P$6:$P$370))</f>
        <v>192 / 81</v>
      </c>
      <c r="O26" s="28" t="str">
        <f>CONCATENATE(SUM($P$6:$P26)," / ",SUM($P$6:$P390))</f>
        <v>30 / 528</v>
      </c>
      <c r="P26" s="244">
        <v>0</v>
      </c>
      <c r="Q26" s="28"/>
      <c r="R26" s="245">
        <v>0</v>
      </c>
      <c r="S26" s="28" t="str">
        <f>CONCATENATE(SUMIF($E$6:$E26,E26,$R$6:$R$370)," / ",SUMIF($E$6:$E$370,E26,$R$6:$R$370))</f>
        <v>0 / 0</v>
      </c>
      <c r="T26" s="28" t="str">
        <f>CONCATENATE(SUMIF($F$6:$F26,$F26,$R$6:$R$370)," / ",SUMIF($F$6:$F$370,$F26,$R$6:$R$370))</f>
        <v>0 / 0</v>
      </c>
      <c r="U26" s="28" t="str">
        <f>CONCATENATE(SUM($R$6:$R26)," / ",SUM($R$6:$R$370))</f>
        <v>0 / 0</v>
      </c>
    </row>
    <row r="27" spans="2:21" ht="13" thickBot="1">
      <c r="B27" s="399">
        <v>42391</v>
      </c>
      <c r="C27" s="35" t="str">
        <f t="shared" si="0"/>
        <v>Vendredi</v>
      </c>
      <c r="D27" s="35">
        <f t="shared" si="3"/>
        <v>22</v>
      </c>
      <c r="E27" s="124">
        <f t="shared" si="1"/>
        <v>4</v>
      </c>
      <c r="F27" s="124">
        <f t="shared" si="2"/>
        <v>1</v>
      </c>
      <c r="G27" s="27"/>
      <c r="H27" s="28" t="str">
        <f>CONCATENATE(SUMIF($E$6:$E27,$E27,$K$6:$K$370)," / ",SUMIF($E$6:$E$370,$E27,$K$6:$K$370))</f>
        <v>30 / 49</v>
      </c>
      <c r="I27" s="28" t="str">
        <f>CONCATENATE(SUMIF($F$6:$F27,$F27,$K$6:$K$370)," / ",SUMIF($F$6:$F$370,$F27,$K$6:$K$370))</f>
        <v>109,7 / 226,7</v>
      </c>
      <c r="J27" s="28" t="str">
        <f>CONCATENATE(SUM($K$6:$K27)," / ",SUM($K$6:$K$370))</f>
        <v>109,7 / 651,895</v>
      </c>
      <c r="K27" s="244">
        <v>0</v>
      </c>
      <c r="L27" s="28"/>
      <c r="M27" s="28" t="str">
        <f>CONCATENATE(SUMIF($E$6:$E27,$E27,$P$6:$P$370)," / ",SUMIF($E$6:$E$370,$E27,$P$6:$P$370))</f>
        <v>0 / 0</v>
      </c>
      <c r="N27" s="28" t="str">
        <f ca="1">CONCATENATE(SUMIF($F$6:$F27,$F27,$P27)," / ",SUMIF($F$6:$F$370,$F27,$P$6:$P$370))</f>
        <v>192 / 81</v>
      </c>
      <c r="O27" s="28" t="str">
        <f>CONCATENATE(SUM($P$6:$P27)," / ",SUM($P$6:$P391))</f>
        <v>30 / 528</v>
      </c>
      <c r="P27" s="244">
        <v>0</v>
      </c>
      <c r="Q27" s="28"/>
      <c r="R27" s="245">
        <v>0</v>
      </c>
      <c r="S27" s="28" t="str">
        <f>CONCATENATE(SUMIF($E$6:$E27,E27,$R$6:$R$370)," / ",SUMIF($E$6:$E$370,E27,$R$6:$R$370))</f>
        <v>0 / 0</v>
      </c>
      <c r="T27" s="28" t="str">
        <f>CONCATENATE(SUMIF($F$6:$F27,$F27,$R$6:$R$370)," / ",SUMIF($F$6:$F$370,$F27,$R$6:$R$370))</f>
        <v>0 / 0</v>
      </c>
      <c r="U27" s="28" t="str">
        <f>CONCATENATE(SUM($R$6:$R27)," / ",SUM($R$6:$R$370))</f>
        <v>0 / 0</v>
      </c>
    </row>
    <row r="28" spans="2:21" ht="13" thickBot="1">
      <c r="B28" s="399">
        <v>42392</v>
      </c>
      <c r="C28" s="35" t="str">
        <f t="shared" si="0"/>
        <v>Samedi</v>
      </c>
      <c r="D28" s="35">
        <f t="shared" si="3"/>
        <v>23</v>
      </c>
      <c r="E28" s="124">
        <f t="shared" si="1"/>
        <v>4</v>
      </c>
      <c r="F28" s="124">
        <f t="shared" si="2"/>
        <v>1</v>
      </c>
      <c r="G28" s="27" t="s">
        <v>1490</v>
      </c>
      <c r="H28" s="28" t="str">
        <f>CONCATENATE(SUMIF($E$6:$E28,$E28,$K$6:$K$370)," / ",SUMIF($E$6:$E$370,$E28,$K$6:$K$370))</f>
        <v>49 / 49</v>
      </c>
      <c r="I28" s="28" t="str">
        <f>CONCATENATE(SUMIF($F$6:$F28,$F28,$K$6:$K$370)," / ",SUMIF($F$6:$F$370,$F28,$K$6:$K$370))</f>
        <v>128,7 / 226,7</v>
      </c>
      <c r="J28" s="28" t="str">
        <f>CONCATENATE(SUM($K$6:$K28)," / ",SUM($K$6:$K$370))</f>
        <v>128,7 / 651,895</v>
      </c>
      <c r="K28" s="244">
        <v>19</v>
      </c>
      <c r="L28" s="28" t="s">
        <v>575</v>
      </c>
      <c r="M28" s="28" t="str">
        <f>CONCATENATE(SUMIF($E$6:$E28,$E28,$P$6:$P$370)," / ",SUMIF($E$6:$E$370,$E28,$P$6:$P$370))</f>
        <v>0 / 0</v>
      </c>
      <c r="N28" s="28" t="str">
        <f ca="1">CONCATENATE(SUMIF($F$6:$F28,$F28,$P28)," / ",SUMIF($F$6:$F$370,$F28,$P$6:$P$370))</f>
        <v>271 / 81</v>
      </c>
      <c r="O28" s="28" t="str">
        <f>CONCATENATE(SUM($P$6:$P28)," / ",SUM($P$6:$P392))</f>
        <v>30 / 528</v>
      </c>
      <c r="P28" s="244">
        <v>0</v>
      </c>
      <c r="Q28" s="28"/>
      <c r="R28" s="245">
        <v>0</v>
      </c>
      <c r="S28" s="28" t="str">
        <f>CONCATENATE(SUMIF($E$6:$E28,E28,$R$6:$R$370)," / ",SUMIF($E$6:$E$370,E28,$R$6:$R$370))</f>
        <v>0 / 0</v>
      </c>
      <c r="T28" s="28" t="str">
        <f>CONCATENATE(SUMIF($F$6:$F28,$F28,$R$6:$R$370)," / ",SUMIF($F$6:$F$370,$F28,$R$6:$R$370))</f>
        <v>0 / 0</v>
      </c>
      <c r="U28" s="28" t="str">
        <f>CONCATENATE(SUM($R$6:$R28)," / ",SUM($R$6:$R$370))</f>
        <v>0 / 0</v>
      </c>
    </row>
    <row r="29" spans="2:21" ht="13" thickBot="1">
      <c r="B29" s="399">
        <v>42393</v>
      </c>
      <c r="C29" s="35" t="str">
        <f t="shared" si="0"/>
        <v>Dimanche</v>
      </c>
      <c r="D29" s="35">
        <f t="shared" si="3"/>
        <v>24</v>
      </c>
      <c r="E29" s="124">
        <f t="shared" si="1"/>
        <v>5</v>
      </c>
      <c r="F29" s="124">
        <f t="shared" si="2"/>
        <v>1</v>
      </c>
      <c r="G29" s="27" t="s">
        <v>1518</v>
      </c>
      <c r="H29" s="28" t="str">
        <f>CONCATENATE(SUMIF($E$6:$E29,$E29,$K$6:$K$370)," / ",SUMIF($E$6:$E$370,$E29,$K$6:$K$370))</f>
        <v>0 / 87</v>
      </c>
      <c r="I29" s="28" t="str">
        <f>CONCATENATE(SUMIF($F$6:$F29,$F29,$K$6:$K$370)," / ",SUMIF($F$6:$F$370,$F29,$K$6:$K$370))</f>
        <v>128,7 / 226,7</v>
      </c>
      <c r="J29" s="28" t="str">
        <f>CONCATENATE(SUM($K$6:$K29)," / ",SUM($K$6:$K$370))</f>
        <v>128,7 / 651,895</v>
      </c>
      <c r="K29" s="244">
        <v>0</v>
      </c>
      <c r="L29" s="28"/>
      <c r="M29" s="28" t="str">
        <f>CONCATENATE(SUMIF($E$6:$E29,$E29,$P$6:$P$370)," / ",SUMIF($E$6:$E$370,$E29,$P$6:$P$370))</f>
        <v>38 / 51</v>
      </c>
      <c r="N29" s="28" t="str">
        <f ca="1">CONCATENATE(SUMIF($F$6:$F29,$F29,$P29)," / ",SUMIF($F$6:$F$370,$F29,$P$6:$P$370))</f>
        <v>271 / 81</v>
      </c>
      <c r="O29" s="28" t="str">
        <f>CONCATENATE(SUM($P$6:$P29)," / ",SUM($P$6:$P393))</f>
        <v>68 / 528</v>
      </c>
      <c r="P29" s="244">
        <v>38</v>
      </c>
      <c r="Q29" s="28" t="s">
        <v>488</v>
      </c>
      <c r="R29" s="245">
        <v>0</v>
      </c>
      <c r="S29" s="28" t="str">
        <f>CONCATENATE(SUMIF($E$6:$E29,E29,$R$6:$R$370)," / ",SUMIF($E$6:$E$370,E29,$R$6:$R$370))</f>
        <v>0 / 0</v>
      </c>
      <c r="T29" s="28" t="str">
        <f>CONCATENATE(SUMIF($F$6:$F29,$F29,$R$6:$R$370)," / ",SUMIF($F$6:$F$370,$F29,$R$6:$R$370))</f>
        <v>0 / 0</v>
      </c>
      <c r="U29" s="28" t="str">
        <f>CONCATENATE(SUM($R$6:$R29)," / ",SUM($R$6:$R$370))</f>
        <v>0 / 0</v>
      </c>
    </row>
    <row r="30" spans="2:21" ht="13" thickBot="1">
      <c r="B30" s="399">
        <v>42394</v>
      </c>
      <c r="C30" s="35" t="str">
        <f t="shared" si="0"/>
        <v>Lundi</v>
      </c>
      <c r="D30" s="35">
        <f t="shared" si="3"/>
        <v>25</v>
      </c>
      <c r="E30" s="124">
        <f t="shared" si="1"/>
        <v>5</v>
      </c>
      <c r="F30" s="124">
        <f t="shared" si="2"/>
        <v>1</v>
      </c>
      <c r="G30" s="27" t="s">
        <v>1521</v>
      </c>
      <c r="H30" s="28" t="str">
        <f>CONCATENATE(SUMIF($E$6:$E30,$E30,$K$6:$K$370)," / ",SUMIF($E$6:$E$370,$E30,$K$6:$K$370))</f>
        <v>21 / 87</v>
      </c>
      <c r="I30" s="28" t="str">
        <f>CONCATENATE(SUMIF($F$6:$F30,$F30,$K$6:$K$370)," / ",SUMIF($F$6:$F$370,$F30,$K$6:$K$370))</f>
        <v>149,7 / 226,7</v>
      </c>
      <c r="J30" s="28" t="str">
        <f>CONCATENATE(SUM($K$6:$K30)," / ",SUM($K$6:$K$370))</f>
        <v>149,7 / 651,895</v>
      </c>
      <c r="K30" s="244">
        <v>21</v>
      </c>
      <c r="L30" s="28" t="s">
        <v>575</v>
      </c>
      <c r="M30" s="28" t="str">
        <f>CONCATENATE(SUMIF($E$6:$E30,$E30,$P$6:$P$370)," / ",SUMIF($E$6:$E$370,$E30,$P$6:$P$370))</f>
        <v>51 / 51</v>
      </c>
      <c r="N30" s="28" t="str">
        <f ca="1">CONCATENATE(SUMIF($F$6:$F30,$F30,$P30)," / ",SUMIF($F$6:$F$370,$F30,$P$6:$P$370))</f>
        <v>233 / 81</v>
      </c>
      <c r="O30" s="28" t="str">
        <f>CONCATENATE(SUM($P$6:$P30)," / ",SUM($P$6:$P394))</f>
        <v>81 / 528</v>
      </c>
      <c r="P30" s="244">
        <v>13</v>
      </c>
      <c r="Q30" s="28" t="s">
        <v>488</v>
      </c>
      <c r="R30" s="245">
        <v>0</v>
      </c>
      <c r="S30" s="28" t="str">
        <f>CONCATENATE(SUMIF($E$6:$E30,E30,$R$6:$R$370)," / ",SUMIF($E$6:$E$370,E30,$R$6:$R$370))</f>
        <v>0 / 0</v>
      </c>
      <c r="T30" s="28" t="str">
        <f>CONCATENATE(SUMIF($F$6:$F30,$F30,$R$6:$R$370)," / ",SUMIF($F$6:$F$370,$F30,$R$6:$R$370))</f>
        <v>0 / 0</v>
      </c>
      <c r="U30" s="28" t="str">
        <f>CONCATENATE(SUM($R$6:$R30)," / ",SUM($R$6:$R$370))</f>
        <v>0 / 0</v>
      </c>
    </row>
    <row r="31" spans="2:21" ht="13" thickBot="1">
      <c r="B31" s="399">
        <v>42395</v>
      </c>
      <c r="C31" s="35" t="str">
        <f t="shared" si="0"/>
        <v>Mardi</v>
      </c>
      <c r="D31" s="35">
        <f t="shared" si="3"/>
        <v>26</v>
      </c>
      <c r="E31" s="124">
        <f t="shared" si="1"/>
        <v>5</v>
      </c>
      <c r="F31" s="124">
        <f t="shared" si="2"/>
        <v>1</v>
      </c>
      <c r="G31" s="27" t="s">
        <v>1524</v>
      </c>
      <c r="H31" s="28" t="str">
        <f>CONCATENATE(SUMIF($E$6:$E31,$E31,$K$6:$K$370)," / ",SUMIF($E$6:$E$370,$E31,$K$6:$K$370))</f>
        <v>45 / 87</v>
      </c>
      <c r="I31" s="28" t="str">
        <f>CONCATENATE(SUMIF($F$6:$F31,$F31,$K$6:$K$370)," / ",SUMIF($F$6:$F$370,$F31,$K$6:$K$370))</f>
        <v>173,7 / 226,7</v>
      </c>
      <c r="J31" s="28" t="str">
        <f>CONCATENATE(SUM($K$6:$K31)," / ",SUM($K$6:$K$370))</f>
        <v>173,7 / 651,895</v>
      </c>
      <c r="K31" s="244">
        <v>24</v>
      </c>
      <c r="L31" s="28" t="s">
        <v>575</v>
      </c>
      <c r="M31" s="28" t="str">
        <f>CONCATENATE(SUMIF($E$6:$E31,$E31,$P$6:$P$370)," / ",SUMIF($E$6:$E$370,$E31,$P$6:$P$370))</f>
        <v>51 / 51</v>
      </c>
      <c r="N31" s="28" t="str">
        <f ca="1">CONCATENATE(SUMIF($F$6:$F31,$F31,$P31)," / ",SUMIF($F$6:$F$370,$F31,$P$6:$P$370))</f>
        <v>256 / 81</v>
      </c>
      <c r="O31" s="28" t="str">
        <f>CONCATENATE(SUM($P$6:$P31)," / ",SUM($P$6:$P395))</f>
        <v>81 / 528</v>
      </c>
      <c r="P31" s="244">
        <v>0</v>
      </c>
      <c r="Q31" s="28"/>
      <c r="R31" s="245">
        <v>0</v>
      </c>
      <c r="S31" s="28" t="str">
        <f>CONCATENATE(SUMIF($E$6:$E31,E31,$R$6:$R$370)," / ",SUMIF($E$6:$E$370,E31,$R$6:$R$370))</f>
        <v>0 / 0</v>
      </c>
      <c r="T31" s="28" t="str">
        <f>CONCATENATE(SUMIF($F$6:$F31,$F31,$R$6:$R$370)," / ",SUMIF($F$6:$F$370,$F31,$R$6:$R$370))</f>
        <v>0 / 0</v>
      </c>
      <c r="U31" s="28" t="str">
        <f>CONCATENATE(SUM($R$6:$R31)," / ",SUM($R$6:$R$370))</f>
        <v>0 / 0</v>
      </c>
    </row>
    <row r="32" spans="2:21" ht="13" thickBot="1">
      <c r="B32" s="399">
        <v>42396</v>
      </c>
      <c r="C32" s="35" t="str">
        <f t="shared" si="0"/>
        <v>Mercredi</v>
      </c>
      <c r="D32" s="35">
        <f t="shared" si="3"/>
        <v>27</v>
      </c>
      <c r="E32" s="124">
        <f t="shared" si="1"/>
        <v>5</v>
      </c>
      <c r="F32" s="124">
        <v>1</v>
      </c>
      <c r="G32" s="270" t="s">
        <v>1527</v>
      </c>
      <c r="H32" s="28" t="str">
        <f>CONCATENATE(SUMIF($E$6:$E32,$E32,$K$6:$K$370)," / ",SUMIF($E$6:$E$370,$E32,$K$6:$K$370))</f>
        <v>61 / 87</v>
      </c>
      <c r="I32" s="28" t="str">
        <f>CONCATENATE(SUMIF($F$6:$F32,$F32,$K$6:$K$370)," / ",SUMIF($F$6:$F$370,$F32,$K$6:$K$370))</f>
        <v>189,7 / 226,7</v>
      </c>
      <c r="J32" s="28" t="str">
        <f>CONCATENATE(SUM($K$6:$K32)," / ",SUM($K$6:$K$370))</f>
        <v>189,7 / 651,895</v>
      </c>
      <c r="K32" s="244">
        <v>16</v>
      </c>
      <c r="L32" s="28" t="s">
        <v>575</v>
      </c>
      <c r="M32" s="28" t="str">
        <f>CONCATENATE(SUMIF($E$6:$E32,$E32,$P$6:$P$370)," / ",SUMIF($E$6:$E$370,$E32,$P$6:$P$370))</f>
        <v>51 / 51</v>
      </c>
      <c r="N32" s="28" t="str">
        <f ca="1">CONCATENATE(SUMIF($F$6:$F32,$F32,$P32)," / ",SUMIF($F$6:$F$370,$F32,$P$6:$P$370))</f>
        <v>285 / 81</v>
      </c>
      <c r="O32" s="28" t="str">
        <f>CONCATENATE(SUM($P$6:$P32)," / ",SUM($P$6:$P396))</f>
        <v>81 / 528</v>
      </c>
      <c r="P32" s="244">
        <v>0</v>
      </c>
      <c r="Q32" s="28"/>
      <c r="R32" s="245">
        <v>0</v>
      </c>
      <c r="S32" s="28" t="str">
        <f>CONCATENATE(SUMIF($E$6:$E32,E32,$R$6:$R$370)," / ",SUMIF($E$6:$E$370,E32,$R$6:$R$370))</f>
        <v>0 / 0</v>
      </c>
      <c r="T32" s="28" t="str">
        <f>CONCATENATE(SUMIF($F$6:$F32,$F32,$R$6:$R$370)," / ",SUMIF($F$6:$F$370,$F32,$R$6:$R$370))</f>
        <v>0 / 0</v>
      </c>
      <c r="U32" s="28" t="str">
        <f>CONCATENATE(SUM($R$6:$R32)," / ",SUM($R$6:$R$370))</f>
        <v>0 / 0</v>
      </c>
    </row>
    <row r="33" spans="2:21" ht="13" thickBot="1">
      <c r="B33" s="399">
        <v>42397</v>
      </c>
      <c r="C33" s="35" t="str">
        <f t="shared" si="0"/>
        <v>Jeudi</v>
      </c>
      <c r="D33" s="35">
        <f t="shared" si="3"/>
        <v>28</v>
      </c>
      <c r="E33" s="124">
        <f t="shared" si="1"/>
        <v>5</v>
      </c>
      <c r="F33" s="124">
        <f t="shared" si="2"/>
        <v>1</v>
      </c>
      <c r="G33" s="27" t="s">
        <v>1526</v>
      </c>
      <c r="H33" s="28" t="str">
        <f>CONCATENATE(SUMIF($E$6:$E33,$E33,$K$6:$K$370)," / ",SUMIF($E$6:$E$370,$E33,$K$6:$K$370))</f>
        <v>73 / 87</v>
      </c>
      <c r="I33" s="28" t="str">
        <f>CONCATENATE(SUMIF($F$6:$F33,$F33,$K$6:$K$370)," / ",SUMIF($F$6:$F$370,$F33,$K$6:$K$370))</f>
        <v>201,7 / 226,7</v>
      </c>
      <c r="J33" s="28" t="str">
        <f>CONCATENATE(SUM($K$6:$K33)," / ",SUM($K$6:$K$370))</f>
        <v>201,7 / 651,895</v>
      </c>
      <c r="K33" s="244">
        <v>12</v>
      </c>
      <c r="L33" s="28" t="s">
        <v>575</v>
      </c>
      <c r="M33" s="28" t="str">
        <f>CONCATENATE(SUMIF($E$6:$E33,$E33,$P$6:$P$370)," / ",SUMIF($E$6:$E$370,$E33,$P$6:$P$370))</f>
        <v>51 / 51</v>
      </c>
      <c r="N33" s="28" t="str">
        <f ca="1">CONCATENATE(SUMIF($F$6:$F33,$F33,$P33)," / ",SUMIF($F$6:$F$370,$F33,$P$6:$P$370))</f>
        <v>357 / 81</v>
      </c>
      <c r="O33" s="28" t="str">
        <f>CONCATENATE(SUM($P$6:$P33)," / ",SUM($P$6:$P397))</f>
        <v>81 / 528</v>
      </c>
      <c r="P33" s="244">
        <v>0</v>
      </c>
      <c r="Q33" s="28"/>
      <c r="R33" s="245">
        <v>0</v>
      </c>
      <c r="S33" s="28" t="str">
        <f>CONCATENATE(SUMIF($E$6:$E33,E33,$R$6:$R$370)," / ",SUMIF($E$6:$E$370,E33,$R$6:$R$370))</f>
        <v>0 / 0</v>
      </c>
      <c r="T33" s="28" t="str">
        <f>CONCATENATE(SUMIF($F$6:$F33,$F33,$R$6:$R$370)," / ",SUMIF($F$6:$F$370,$F33,$R$6:$R$370))</f>
        <v>0 / 0</v>
      </c>
      <c r="U33" s="28" t="str">
        <f>CONCATENATE(SUM($R$6:$R33)," / ",SUM($R$6:$R$370))</f>
        <v>0 / 0</v>
      </c>
    </row>
    <row r="34" spans="2:21" ht="13" thickBot="1">
      <c r="B34" s="399">
        <v>42398</v>
      </c>
      <c r="C34" s="35" t="str">
        <f t="shared" si="0"/>
        <v>Vendredi</v>
      </c>
      <c r="D34" s="35">
        <f t="shared" si="3"/>
        <v>29</v>
      </c>
      <c r="E34" s="124">
        <f t="shared" si="1"/>
        <v>5</v>
      </c>
      <c r="F34" s="124">
        <f t="shared" si="2"/>
        <v>1</v>
      </c>
      <c r="G34" s="27" t="s">
        <v>1528</v>
      </c>
      <c r="H34" s="28" t="str">
        <f>CONCATENATE(SUMIF($E$6:$E34,$E34,$K$6:$K$370)," / ",SUMIF($E$6:$E$370,$E34,$K$6:$K$370))</f>
        <v>80 / 87</v>
      </c>
      <c r="I34" s="28" t="str">
        <f>CONCATENATE(SUMIF($F$6:$F34,$F34,$K$6:$K$370)," / ",SUMIF($F$6:$F$370,$F34,$K$6:$K$370))</f>
        <v>208,7 / 226,7</v>
      </c>
      <c r="J34" s="28" t="str">
        <f>CONCATENATE(SUM($K$6:$K34)," / ",SUM($K$6:$K$370))</f>
        <v>208,7 / 651,895</v>
      </c>
      <c r="K34" s="244">
        <v>7</v>
      </c>
      <c r="L34" s="28" t="s">
        <v>575</v>
      </c>
      <c r="M34" s="28" t="str">
        <f>CONCATENATE(SUMIF($E$6:$E34,$E34,$P$6:$P$370)," / ",SUMIF($E$6:$E$370,$E34,$P$6:$P$370))</f>
        <v>51 / 51</v>
      </c>
      <c r="N34" s="28" t="str">
        <f ca="1">CONCATENATE(SUMIF($F$6:$F34,$F34,$P34)," / ",SUMIF($F$6:$F$370,$F34,$P$6:$P$370))</f>
        <v>392 / 81</v>
      </c>
      <c r="O34" s="28" t="str">
        <f>CONCATENATE(SUM($P$6:$P34)," / ",SUM($P$6:$P398))</f>
        <v>81 / 528</v>
      </c>
      <c r="P34" s="244">
        <v>0</v>
      </c>
      <c r="Q34" s="28"/>
      <c r="R34" s="245">
        <v>0</v>
      </c>
      <c r="S34" s="28" t="str">
        <f>CONCATENATE(SUMIF($E$6:$E34,E34,$R$6:$R$370)," / ",SUMIF($E$6:$E$370,E34,$R$6:$R$370))</f>
        <v>0 / 0</v>
      </c>
      <c r="T34" s="28" t="str">
        <f>CONCATENATE(SUMIF($F$6:$F34,$F34,$R$6:$R$370)," / ",SUMIF($F$6:$F$370,$F34,$R$6:$R$370))</f>
        <v>0 / 0</v>
      </c>
      <c r="U34" s="28" t="str">
        <f>CONCATENATE(SUM($R$6:$R34)," / ",SUM($R$6:$R$370))</f>
        <v>0 / 0</v>
      </c>
    </row>
    <row r="35" spans="2:21" ht="13" thickBot="1">
      <c r="B35" s="399">
        <v>42399</v>
      </c>
      <c r="C35" s="35" t="str">
        <f t="shared" si="0"/>
        <v>Samedi</v>
      </c>
      <c r="D35" s="35">
        <f t="shared" si="3"/>
        <v>30</v>
      </c>
      <c r="E35" s="124">
        <f t="shared" si="1"/>
        <v>5</v>
      </c>
      <c r="F35" s="124">
        <f t="shared" si="2"/>
        <v>1</v>
      </c>
      <c r="G35" s="27" t="s">
        <v>1528</v>
      </c>
      <c r="H35" s="28" t="str">
        <f>CONCATENATE(SUMIF($E$6:$E35,$E35,$K$6:$K$370)," / ",SUMIF($E$6:$E$370,$E35,$K$6:$K$370))</f>
        <v>87 / 87</v>
      </c>
      <c r="I35" s="28" t="str">
        <f>CONCATENATE(SUMIF($F$6:$F35,$F35,$K$6:$K$370)," / ",SUMIF($F$6:$F$370,$F35,$K$6:$K$370))</f>
        <v>215,7 / 226,7</v>
      </c>
      <c r="J35" s="28" t="str">
        <f>CONCATENATE(SUM($K$6:$K35)," / ",SUM($K$6:$K$370))</f>
        <v>215,7 / 651,895</v>
      </c>
      <c r="K35" s="244">
        <v>7</v>
      </c>
      <c r="L35" s="28" t="s">
        <v>477</v>
      </c>
      <c r="M35" s="28" t="str">
        <f>CONCATENATE(SUMIF($E$6:$E35,$E35,$P$6:$P$370)," / ",SUMIF($E$6:$E$370,$E35,$P$6:$P$370))</f>
        <v>51 / 51</v>
      </c>
      <c r="N35" s="28" t="str">
        <f ca="1">CONCATENATE(SUMIF($F$6:$F35,$F35,$P35)," / ",SUMIF($F$6:$F$370,$F35,$P$6:$P$370))</f>
        <v>447 / 81</v>
      </c>
      <c r="O35" s="28" t="str">
        <f>CONCATENATE(SUM($P$6:$P35)," / ",SUM($P$6:$P399))</f>
        <v>81 / 528</v>
      </c>
      <c r="P35" s="244">
        <v>0</v>
      </c>
      <c r="Q35" s="28"/>
      <c r="R35" s="245">
        <v>0</v>
      </c>
      <c r="S35" s="28" t="str">
        <f>CONCATENATE(SUMIF($E$6:$E35,E35,$R$6:$R$370)," / ",SUMIF($E$6:$E$370,E35,$R$6:$R$370))</f>
        <v>0 / 0</v>
      </c>
      <c r="T35" s="28" t="str">
        <f>CONCATENATE(SUMIF($F$6:$F35,$F35,$R$6:$R$370)," / ",SUMIF($F$6:$F$370,$F35,$R$6:$R$370))</f>
        <v>0 / 0</v>
      </c>
      <c r="U35" s="28" t="str">
        <f>CONCATENATE(SUM($R$6:$R35)," / ",SUM($R$6:$R$370))</f>
        <v>0 / 0</v>
      </c>
    </row>
    <row r="36" spans="2:21" ht="13" thickBot="1">
      <c r="B36" s="399">
        <v>42400</v>
      </c>
      <c r="C36" s="35" t="str">
        <f t="shared" si="0"/>
        <v>Dimanche</v>
      </c>
      <c r="D36" s="35">
        <f t="shared" si="3"/>
        <v>31</v>
      </c>
      <c r="E36" s="124">
        <f t="shared" si="1"/>
        <v>6</v>
      </c>
      <c r="F36" s="124">
        <f t="shared" si="2"/>
        <v>1</v>
      </c>
      <c r="G36" s="27"/>
      <c r="H36" s="28" t="str">
        <f>CONCATENATE(SUMIF($E$6:$E36,$E36,$K$6:$K$370)," / ",SUMIF($E$6:$E$370,$E36,$K$6:$K$370))</f>
        <v>11 / 98,5</v>
      </c>
      <c r="I36" s="28" t="str">
        <f>CONCATENATE(SUMIF($F$6:$F36,$F36,$K$6:$K$370)," / ",SUMIF($F$6:$F$370,$F36,$K$6:$K$370))</f>
        <v>226,7 / 226,7</v>
      </c>
      <c r="J36" s="28" t="str">
        <f>CONCATENATE(SUM($K$6:$K36)," / ",SUM($K$6:$K$370))</f>
        <v>226,7 / 651,895</v>
      </c>
      <c r="K36" s="244">
        <v>11</v>
      </c>
      <c r="L36" s="28" t="s">
        <v>575</v>
      </c>
      <c r="M36" s="28" t="str">
        <f>CONCATENATE(SUMIF($E$6:$E36,$E36,$P$6:$P$370)," / ",SUMIF($E$6:$E$370,$E36,$P$6:$P$370))</f>
        <v>0 / 30</v>
      </c>
      <c r="N36" s="28" t="str">
        <f ca="1">CONCATENATE(SUMIF($F$6:$F36,$F36,$P36)," / ",SUMIF($F$6:$F$370,$F36,$P$6:$P$370))</f>
        <v>447 / 81</v>
      </c>
      <c r="O36" s="28" t="str">
        <f>CONCATENATE(SUM($P$6:$P36)," / ",SUM($P$6:$P400))</f>
        <v>81 / 528</v>
      </c>
      <c r="P36" s="244">
        <v>0</v>
      </c>
      <c r="Q36" s="28"/>
      <c r="R36" s="245">
        <v>0</v>
      </c>
      <c r="S36" s="28" t="str">
        <f>CONCATENATE(SUMIF($E$6:$E36,E36,$R$6:$R$370)," / ",SUMIF($E$6:$E$370,E36,$R$6:$R$370))</f>
        <v>0 / 0</v>
      </c>
      <c r="T36" s="28" t="str">
        <f>CONCATENATE(SUMIF($F$6:$F36,$F36,$R$6:$R$370)," / ",SUMIF($F$6:$F$370,$F36,$R$6:$R$370))</f>
        <v>0 / 0</v>
      </c>
      <c r="U36" s="28" t="str">
        <f>CONCATENATE(SUM($R$6:$R36)," / ",SUM($R$6:$R$370))</f>
        <v>0 / 0</v>
      </c>
    </row>
    <row r="37" spans="2:21" ht="13" thickBot="1">
      <c r="B37" s="399">
        <v>42401</v>
      </c>
      <c r="C37" s="35" t="str">
        <f t="shared" si="0"/>
        <v>Lundi</v>
      </c>
      <c r="D37" s="35">
        <f t="shared" si="3"/>
        <v>32</v>
      </c>
      <c r="E37" s="124">
        <f t="shared" si="1"/>
        <v>6</v>
      </c>
      <c r="F37" s="124">
        <f t="shared" si="2"/>
        <v>2</v>
      </c>
      <c r="G37" s="27" t="s">
        <v>1529</v>
      </c>
      <c r="H37" s="28" t="str">
        <f>CONCATENATE(SUMIF($E$6:$E37,$E37,$K$6:$K$370)," / ",SUMIF($E$6:$E$370,$E37,$K$6:$K$370))</f>
        <v>31 / 98,5</v>
      </c>
      <c r="I37" s="28" t="str">
        <f>CONCATENATE(SUMIF($F$6:$F37,$F37,$K$6:$K$370)," / ",SUMIF($F$6:$F$370,$F37,$K$6:$K$370))</f>
        <v>20 / 341</v>
      </c>
      <c r="J37" s="28" t="str">
        <f>CONCATENATE(SUM($K$6:$K37)," / ",SUM($K$6:$K$370))</f>
        <v>246,7 / 651,895</v>
      </c>
      <c r="K37" s="244">
        <v>20</v>
      </c>
      <c r="L37" s="28" t="s">
        <v>575</v>
      </c>
      <c r="M37" s="28" t="str">
        <f>CONCATENATE(SUMIF($E$6:$E37,$E37,$P$6:$P$370)," / ",SUMIF($E$6:$E$370,$E37,$P$6:$P$370))</f>
        <v>0 / 30</v>
      </c>
      <c r="N37" s="28" t="str">
        <f ca="1">CONCATENATE(SUMIF($F$6:$F37,$F37,$P37)," / ",SUMIF($F$6:$F$370,$F37,$P$6:$P$370))</f>
        <v>0 / 447</v>
      </c>
      <c r="O37" s="28" t="str">
        <f>CONCATENATE(SUM($P$6:$P37)," / ",SUM($P$6:$P401))</f>
        <v>81 / 528</v>
      </c>
      <c r="P37" s="244">
        <v>0</v>
      </c>
      <c r="Q37" s="28"/>
      <c r="R37" s="245">
        <v>0</v>
      </c>
      <c r="S37" s="28" t="str">
        <f>CONCATENATE(SUMIF($E$6:$E37,E37,$R$6:$R$370)," / ",SUMIF($E$6:$E$370,E37,$R$6:$R$370))</f>
        <v>0 / 0</v>
      </c>
      <c r="T37" s="28" t="str">
        <f>CONCATENATE(SUMIF($F$6:$F37,$F37,$R$6:$R$370)," / ",SUMIF($F$6:$F$370,$F37,$R$6:$R$370))</f>
        <v>0 / 0</v>
      </c>
      <c r="U37" s="28" t="str">
        <f>CONCATENATE(SUM($R$6:$R37)," / ",SUM($R$6:$R$370))</f>
        <v>0 / 0</v>
      </c>
    </row>
    <row r="38" spans="2:21" ht="13" thickBot="1">
      <c r="B38" s="399">
        <v>42402</v>
      </c>
      <c r="C38" s="35" t="str">
        <f t="shared" si="0"/>
        <v>Mardi</v>
      </c>
      <c r="D38" s="35">
        <f t="shared" si="3"/>
        <v>33</v>
      </c>
      <c r="E38" s="124">
        <f t="shared" si="1"/>
        <v>6</v>
      </c>
      <c r="F38" s="124">
        <f t="shared" si="2"/>
        <v>2</v>
      </c>
      <c r="G38" s="27" t="s">
        <v>1531</v>
      </c>
      <c r="H38" s="28" t="str">
        <f>CONCATENATE(SUMIF($E$6:$E38,$E38,$K$6:$K$370)," / ",SUMIF($E$6:$E$370,$E38,$K$6:$K$370))</f>
        <v>43,5 / 98,5</v>
      </c>
      <c r="I38" s="28" t="str">
        <f>CONCATENATE(SUMIF($F$6:$F38,$F38,$K$6:$K$370)," / ",SUMIF($F$6:$F$370,$F38,$K$6:$K$370))</f>
        <v>32,5 / 341</v>
      </c>
      <c r="J38" s="28" t="str">
        <f>CONCATENATE(SUM($K$6:$K38)," / ",SUM($K$6:$K$370))</f>
        <v>259,2 / 651,895</v>
      </c>
      <c r="K38" s="244">
        <v>12.5</v>
      </c>
      <c r="L38" s="28" t="s">
        <v>620</v>
      </c>
      <c r="M38" s="28" t="str">
        <f>CONCATENATE(SUMIF($E$6:$E38,$E38,$P$6:$P$370)," / ",SUMIF($E$6:$E$370,$E38,$P$6:$P$370))</f>
        <v>0 / 30</v>
      </c>
      <c r="N38" s="28" t="str">
        <f ca="1">CONCATENATE(SUMIF($F$6:$F38,$F38,$P38)," / ",SUMIF($F$6:$F$370,$F38,$P$6:$P$370))</f>
        <v>0 / 447</v>
      </c>
      <c r="O38" s="28" t="str">
        <f>CONCATENATE(SUM($P$6:$P38)," / ",SUM($P$6:$P402))</f>
        <v>81 / 528</v>
      </c>
      <c r="P38" s="244">
        <v>0</v>
      </c>
      <c r="Q38" s="28"/>
      <c r="R38" s="245">
        <v>0</v>
      </c>
      <c r="S38" s="28" t="str">
        <f>CONCATENATE(SUMIF($E$6:$E38,E38,$R$6:$R$370)," / ",SUMIF($E$6:$E$370,E38,$R$6:$R$370))</f>
        <v>0 / 0</v>
      </c>
      <c r="T38" s="28" t="str">
        <f>CONCATENATE(SUMIF($F$6:$F38,$F38,$R$6:$R$370)," / ",SUMIF($F$6:$F$370,$F38,$R$6:$R$370))</f>
        <v>0 / 0</v>
      </c>
      <c r="U38" s="28" t="str">
        <f>CONCATENATE(SUM($R$6:$R38)," / ",SUM($R$6:$R$370))</f>
        <v>0 / 0</v>
      </c>
    </row>
    <row r="39" spans="2:21" ht="13" thickBot="1">
      <c r="B39" s="399">
        <v>42403</v>
      </c>
      <c r="C39" s="35" t="str">
        <f t="shared" si="0"/>
        <v>Mercredi</v>
      </c>
      <c r="D39" s="35">
        <f t="shared" si="3"/>
        <v>34</v>
      </c>
      <c r="E39" s="124">
        <f t="shared" si="1"/>
        <v>6</v>
      </c>
      <c r="F39" s="124">
        <f t="shared" si="2"/>
        <v>2</v>
      </c>
      <c r="G39" s="27" t="s">
        <v>1532</v>
      </c>
      <c r="H39" s="28" t="str">
        <f>CONCATENATE(SUMIF($E$6:$E39,$E39,$K$6:$K$370)," / ",SUMIF($E$6:$E$370,$E39,$K$6:$K$370))</f>
        <v>55,5 / 98,5</v>
      </c>
      <c r="I39" s="28" t="str">
        <f>CONCATENATE(SUMIF($F$6:$F39,$F39,$K$6:$K$370)," / ",SUMIF($F$6:$F$370,$F39,$K$6:$K$370))</f>
        <v>44,5 / 341</v>
      </c>
      <c r="J39" s="28" t="str">
        <f>CONCATENATE(SUM($K$6:$K39)," / ",SUM($K$6:$K$370))</f>
        <v>271,2 / 651,895</v>
      </c>
      <c r="K39" s="244">
        <v>12</v>
      </c>
      <c r="L39" s="28" t="s">
        <v>620</v>
      </c>
      <c r="M39" s="28" t="str">
        <f>CONCATENATE(SUMIF($E$6:$E39,$E39,$P$6:$P$370)," / ",SUMIF($E$6:$E$370,$E39,$P$6:$P$370))</f>
        <v>0 / 30</v>
      </c>
      <c r="N39" s="28" t="str">
        <f ca="1">CONCATENATE(SUMIF($F$6:$F39,$F39,$P39)," / ",SUMIF($F$6:$F$370,$F39,$P$6:$P$370))</f>
        <v>0 / 447</v>
      </c>
      <c r="O39" s="28" t="str">
        <f>CONCATENATE(SUM($P$6:$P39)," / ",SUM($P$6:$P403))</f>
        <v>81 / 528</v>
      </c>
      <c r="P39" s="244">
        <v>0</v>
      </c>
      <c r="Q39" s="28"/>
      <c r="R39" s="245">
        <v>0</v>
      </c>
      <c r="S39" s="28" t="str">
        <f>CONCATENATE(SUMIF($E$6:$E39,E39,$R$6:$R$370)," / ",SUMIF($E$6:$E$370,E39,$R$6:$R$370))</f>
        <v>0 / 0</v>
      </c>
      <c r="T39" s="28" t="str">
        <f>CONCATENATE(SUMIF($F$6:$F39,$F39,$R$6:$R$370)," / ",SUMIF($F$6:$F$370,$F39,$R$6:$R$370))</f>
        <v>0 / 0</v>
      </c>
      <c r="U39" s="28" t="str">
        <f>CONCATENATE(SUM($R$6:$R39)," / ",SUM($R$6:$R$370))</f>
        <v>0 / 0</v>
      </c>
    </row>
    <row r="40" spans="2:21" ht="13" thickBot="1">
      <c r="B40" s="399">
        <v>42404</v>
      </c>
      <c r="C40" s="35" t="str">
        <f t="shared" si="0"/>
        <v>Jeudi</v>
      </c>
      <c r="D40" s="35">
        <f t="shared" si="3"/>
        <v>35</v>
      </c>
      <c r="E40" s="124">
        <f t="shared" si="1"/>
        <v>6</v>
      </c>
      <c r="F40" s="124">
        <f t="shared" si="2"/>
        <v>2</v>
      </c>
      <c r="G40" s="27" t="s">
        <v>1534</v>
      </c>
      <c r="H40" s="28" t="str">
        <f>CONCATENATE(SUMIF($E$6:$E40,$E40,$K$6:$K$370)," / ",SUMIF($E$6:$E$370,$E40,$K$6:$K$370))</f>
        <v>73,5 / 98,5</v>
      </c>
      <c r="I40" s="28" t="str">
        <f>CONCATENATE(SUMIF($F$6:$F40,$F40,$K$6:$K$370)," / ",SUMIF($F$6:$F$370,$F40,$K$6:$K$370))</f>
        <v>62,5 / 341</v>
      </c>
      <c r="J40" s="28" t="str">
        <f>CONCATENATE(SUM($K$6:$K40)," / ",SUM($K$6:$K$370))</f>
        <v>289,2 / 651,895</v>
      </c>
      <c r="K40" s="244">
        <v>18</v>
      </c>
      <c r="L40" s="28" t="s">
        <v>631</v>
      </c>
      <c r="M40" s="28" t="str">
        <f>CONCATENATE(SUMIF($E$6:$E40,$E40,$P$6:$P$370)," / ",SUMIF($E$6:$E$370,$E40,$P$6:$P$370))</f>
        <v>0 / 30</v>
      </c>
      <c r="N40" s="28" t="str">
        <f ca="1">CONCATENATE(SUMIF($F$6:$F40,$F40,$P40)," / ",SUMIF($F$6:$F$370,$F40,$P$6:$P$370))</f>
        <v>0 / 447</v>
      </c>
      <c r="O40" s="28" t="str">
        <f>CONCATENATE(SUM($P$6:$P40)," / ",SUM($P$6:$P404))</f>
        <v>81 / 528</v>
      </c>
      <c r="P40" s="244">
        <v>0</v>
      </c>
      <c r="Q40" s="28"/>
      <c r="R40" s="245">
        <v>0</v>
      </c>
      <c r="S40" s="28" t="str">
        <f>CONCATENATE(SUMIF($E$6:$E40,E40,$R$6:$R$370)," / ",SUMIF($E$6:$E$370,E40,$R$6:$R$370))</f>
        <v>0 / 0</v>
      </c>
      <c r="T40" s="28" t="str">
        <f>CONCATENATE(SUMIF($F$6:$F40,$F40,$R$6:$R$370)," / ",SUMIF($F$6:$F$370,$F40,$R$6:$R$370))</f>
        <v>0 / 0</v>
      </c>
      <c r="U40" s="28" t="str">
        <f>CONCATENATE(SUM($R$6:$R40)," / ",SUM($R$6:$R$370))</f>
        <v>0 / 0</v>
      </c>
    </row>
    <row r="41" spans="2:21" ht="13" thickBot="1">
      <c r="B41" s="399">
        <v>42405</v>
      </c>
      <c r="C41" s="35" t="str">
        <f t="shared" si="0"/>
        <v>Vendredi</v>
      </c>
      <c r="D41" s="35">
        <f t="shared" si="3"/>
        <v>36</v>
      </c>
      <c r="E41" s="124">
        <f t="shared" si="1"/>
        <v>6</v>
      </c>
      <c r="F41" s="124">
        <f t="shared" si="2"/>
        <v>2</v>
      </c>
      <c r="G41" s="27" t="s">
        <v>1533</v>
      </c>
      <c r="H41" s="28" t="str">
        <f>CONCATENATE(SUMIF($E$6:$E41,$E41,$K$6:$K$370)," / ",SUMIF($E$6:$E$370,$E41,$K$6:$K$370))</f>
        <v>83,5 / 98,5</v>
      </c>
      <c r="I41" s="28" t="str">
        <f>CONCATENATE(SUMIF($F$6:$F41,$F41,$K$6:$K$370)," / ",SUMIF($F$6:$F$370,$F41,$K$6:$K$370))</f>
        <v>72,5 / 341</v>
      </c>
      <c r="J41" s="28" t="str">
        <f>CONCATENATE(SUM($K$6:$K41)," / ",SUM($K$6:$K$370))</f>
        <v>299,2 / 651,895</v>
      </c>
      <c r="K41" s="244">
        <v>10</v>
      </c>
      <c r="L41" s="28" t="s">
        <v>620</v>
      </c>
      <c r="M41" s="28" t="str">
        <f>CONCATENATE(SUMIF($E$6:$E41,$E41,$P$6:$P$370)," / ",SUMIF($E$6:$E$370,$E41,$P$6:$P$370))</f>
        <v>0 / 30</v>
      </c>
      <c r="N41" s="28" t="str">
        <f ca="1">CONCATENATE(SUMIF($F$6:$F41,$F41,$P41)," / ",SUMIF($F$6:$F$370,$F41,$P$6:$P$370))</f>
        <v>0 / 447</v>
      </c>
      <c r="O41" s="28" t="str">
        <f>CONCATENATE(SUM($P$6:$P41)," / ",SUM($P$6:$P405))</f>
        <v>81 / 528</v>
      </c>
      <c r="P41" s="244">
        <v>0</v>
      </c>
      <c r="Q41" s="28"/>
      <c r="R41" s="245">
        <v>0</v>
      </c>
      <c r="S41" s="28" t="str">
        <f>CONCATENATE(SUMIF($E$6:$E41,E41,$R$6:$R$370)," / ",SUMIF($E$6:$E$370,E41,$R$6:$R$370))</f>
        <v>0 / 0</v>
      </c>
      <c r="T41" s="28" t="str">
        <f>CONCATENATE(SUMIF($F$6:$F41,$F41,$R$6:$R$370)," / ",SUMIF($F$6:$F$370,$F41,$R$6:$R$370))</f>
        <v>0 / 0</v>
      </c>
      <c r="U41" s="28" t="str">
        <f>CONCATENATE(SUM($R$6:$R41)," / ",SUM($R$6:$R$370))</f>
        <v>0 / 0</v>
      </c>
    </row>
    <row r="42" spans="2:21" ht="16" thickBot="1">
      <c r="B42" s="399">
        <v>42406</v>
      </c>
      <c r="C42" s="35" t="str">
        <f t="shared" si="0"/>
        <v>Samedi</v>
      </c>
      <c r="D42" s="35">
        <f t="shared" si="3"/>
        <v>37</v>
      </c>
      <c r="E42" s="193">
        <f t="shared" si="1"/>
        <v>6</v>
      </c>
      <c r="F42" s="193">
        <f t="shared" si="2"/>
        <v>2</v>
      </c>
      <c r="G42" s="385" t="s">
        <v>1538</v>
      </c>
      <c r="H42" s="28" t="str">
        <f>CONCATENATE(SUMIF($E$6:$E42,$E42,$K$6:$K$370)," / ",SUMIF($E$6:$E$370,$E42,$K$6:$K$370))</f>
        <v>98,5 / 98,5</v>
      </c>
      <c r="I42" s="28" t="str">
        <f>CONCATENATE(SUMIF($F$6:$F42,$F42,$K$6:$K$370)," / ",SUMIF($F$6:$F$370,$F42,$K$6:$K$370))</f>
        <v>87,5 / 341</v>
      </c>
      <c r="J42" s="28" t="str">
        <f>CONCATENATE(SUM($K$6:$K42)," / ",SUM($K$6:$K$370))</f>
        <v>314,2 / 651,895</v>
      </c>
      <c r="K42" s="244">
        <v>15</v>
      </c>
      <c r="L42" s="28" t="s">
        <v>631</v>
      </c>
      <c r="M42" s="28" t="str">
        <f>CONCATENATE(SUMIF($E$6:$E42,$E42,$P$6:$P$370)," / ",SUMIF($E$6:$E$370,$E42,$P$6:$P$370))</f>
        <v>30 / 30</v>
      </c>
      <c r="N42" s="28" t="str">
        <f ca="1">CONCATENATE(SUMIF($F$6:$F42,$F42,$P42)," / ",SUMIF($F$6:$F$370,$F42,$P$6:$P$370))</f>
        <v>0 / 447</v>
      </c>
      <c r="O42" s="28" t="str">
        <f>CONCATENATE(SUM($P$6:$P42)," / ",SUM($P$6:$P406))</f>
        <v>111 / 528</v>
      </c>
      <c r="P42" s="244">
        <v>30</v>
      </c>
      <c r="Q42" s="28" t="s">
        <v>488</v>
      </c>
      <c r="R42" s="245">
        <v>0</v>
      </c>
      <c r="S42" s="28" t="str">
        <f>CONCATENATE(SUMIF($E$6:$E42,E42,$R$6:$R$370)," / ",SUMIF($E$6:$E$370,E42,$R$6:$R$370))</f>
        <v>0 / 0</v>
      </c>
      <c r="T42" s="28" t="str">
        <f>CONCATENATE(SUMIF($F$6:$F42,$F42,$R$6:$R$370)," / ",SUMIF($F$6:$F$370,$F42,$R$6:$R$370))</f>
        <v>0 / 0</v>
      </c>
      <c r="U42" s="28" t="str">
        <f>CONCATENATE(SUM($R$6:$R42)," / ",SUM($R$6:$R$370))</f>
        <v>0 / 0</v>
      </c>
    </row>
    <row r="43" spans="2:21" ht="13" thickBot="1">
      <c r="B43" s="399">
        <v>42407</v>
      </c>
      <c r="C43" s="35" t="str">
        <f t="shared" si="0"/>
        <v>Dimanche</v>
      </c>
      <c r="D43" s="35">
        <f t="shared" si="3"/>
        <v>38</v>
      </c>
      <c r="E43" s="124">
        <f t="shared" si="1"/>
        <v>7</v>
      </c>
      <c r="F43" s="124">
        <f t="shared" si="2"/>
        <v>2</v>
      </c>
      <c r="G43" s="27" t="s">
        <v>1535</v>
      </c>
      <c r="H43" s="28" t="str">
        <f>CONCATENATE(SUMIF($E$6:$E43,$E43,$K$6:$K$370)," / ",SUMIF($E$6:$E$370,$E43,$K$6:$K$370))</f>
        <v>8 / 66</v>
      </c>
      <c r="I43" s="28" t="str">
        <f>CONCATENATE(SUMIF($F$6:$F43,$F43,$K$6:$K$370)," / ",SUMIF($F$6:$F$370,$F43,$K$6:$K$370))</f>
        <v>95,5 / 341</v>
      </c>
      <c r="J43" s="28" t="str">
        <f>CONCATENATE(SUM($K$6:$K43)," / ",SUM($K$6:$K$370))</f>
        <v>322,2 / 651,895</v>
      </c>
      <c r="K43" s="244">
        <v>8</v>
      </c>
      <c r="L43" s="28" t="s">
        <v>620</v>
      </c>
      <c r="M43" s="28" t="str">
        <f>CONCATENATE(SUMIF($E$6:$E43,$E43,$P$6:$P$370)," / ",SUMIF($E$6:$E$370,$E43,$P$6:$P$370))</f>
        <v>38 / 153</v>
      </c>
      <c r="N43" s="28" t="str">
        <f ca="1">CONCATENATE(SUMIF($F$6:$F43,$F43,$P43)," / ",SUMIF($F$6:$F$370,$F43,$P$6:$P$370))</f>
        <v>0 / 447</v>
      </c>
      <c r="O43" s="28" t="str">
        <f>CONCATENATE(SUM($P$6:$P43)," / ",SUM($P$6:$P407))</f>
        <v>149 / 528</v>
      </c>
      <c r="P43" s="244">
        <v>38</v>
      </c>
      <c r="Q43" s="28" t="s">
        <v>488</v>
      </c>
      <c r="R43" s="245">
        <v>0</v>
      </c>
      <c r="S43" s="28" t="str">
        <f>CONCATENATE(SUMIF($E$6:$E43,E43,$R$6:$R$370)," / ",SUMIF($E$6:$E$370,E43,$R$6:$R$370))</f>
        <v>0 / 0</v>
      </c>
      <c r="T43" s="28" t="str">
        <f>CONCATENATE(SUMIF($F$6:$F43,$F43,$R$6:$R$370)," / ",SUMIF($F$6:$F$370,$F43,$R$6:$R$370))</f>
        <v>0 / 0</v>
      </c>
      <c r="U43" s="28" t="str">
        <f>CONCATENATE(SUM($R$6:$R43)," / ",SUM($R$6:$R$370))</f>
        <v>0 / 0</v>
      </c>
    </row>
    <row r="44" spans="2:21" ht="13" thickBot="1">
      <c r="B44" s="399">
        <v>42408</v>
      </c>
      <c r="C44" s="35" t="str">
        <f t="shared" si="0"/>
        <v>Lundi</v>
      </c>
      <c r="D44" s="35">
        <f t="shared" si="3"/>
        <v>39</v>
      </c>
      <c r="E44" s="124">
        <f t="shared" si="1"/>
        <v>7</v>
      </c>
      <c r="F44" s="124">
        <f t="shared" si="2"/>
        <v>2</v>
      </c>
      <c r="G44" s="27" t="s">
        <v>1536</v>
      </c>
      <c r="H44" s="28" t="str">
        <f>CONCATENATE(SUMIF($E$6:$E44,$E44,$K$6:$K$370)," / ",SUMIF($E$6:$E$370,$E44,$K$6:$K$370))</f>
        <v>18 / 66</v>
      </c>
      <c r="I44" s="28" t="str">
        <f>CONCATENATE(SUMIF($F$6:$F44,$F44,$K$6:$K$370)," / ",SUMIF($F$6:$F$370,$F44,$K$6:$K$370))</f>
        <v>105,5 / 341</v>
      </c>
      <c r="J44" s="28" t="str">
        <f>CONCATENATE(SUM($K$6:$K44)," / ",SUM($K$6:$K$370))</f>
        <v>332,2 / 651,895</v>
      </c>
      <c r="K44" s="244">
        <v>10</v>
      </c>
      <c r="L44" s="28" t="s">
        <v>620</v>
      </c>
      <c r="M44" s="28" t="str">
        <f>CONCATENATE(SUMIF($E$6:$E44,$E44,$P$6:$P$370)," / ",SUMIF($E$6:$E$370,$E44,$P$6:$P$370))</f>
        <v>76 / 153</v>
      </c>
      <c r="N44" s="28" t="str">
        <f ca="1">CONCATENATE(SUMIF($F$6:$F44,$F44,$P44)," / ",SUMIF($F$6:$F$370,$F44,$P$6:$P$370))</f>
        <v>0 / 447</v>
      </c>
      <c r="O44" s="28" t="str">
        <f>CONCATENATE(SUM($P$6:$P44)," / ",SUM($P$6:$P408))</f>
        <v>187 / 528</v>
      </c>
      <c r="P44" s="244">
        <v>38</v>
      </c>
      <c r="Q44" s="28" t="s">
        <v>488</v>
      </c>
      <c r="R44" s="245">
        <v>0</v>
      </c>
      <c r="S44" s="28" t="str">
        <f>CONCATENATE(SUMIF($E$6:$E44,E44,$R$6:$R$370)," / ",SUMIF($E$6:$E$370,E44,$R$6:$R$370))</f>
        <v>0 / 0</v>
      </c>
      <c r="T44" s="28" t="str">
        <f>CONCATENATE(SUMIF($F$6:$F44,$F44,$R$6:$R$370)," / ",SUMIF($F$6:$F$370,$F44,$R$6:$R$370))</f>
        <v>0 / 0</v>
      </c>
      <c r="U44" s="28" t="str">
        <f>CONCATENATE(SUM($R$6:$R44)," / ",SUM($R$6:$R$370))</f>
        <v>0 / 0</v>
      </c>
    </row>
    <row r="45" spans="2:21" ht="13" thickBot="1">
      <c r="B45" s="399">
        <v>42409</v>
      </c>
      <c r="C45" s="35" t="str">
        <f t="shared" si="0"/>
        <v>Mardi</v>
      </c>
      <c r="D45" s="35">
        <f t="shared" si="3"/>
        <v>40</v>
      </c>
      <c r="E45" s="124">
        <f t="shared" si="1"/>
        <v>7</v>
      </c>
      <c r="F45" s="124">
        <f t="shared" si="2"/>
        <v>2</v>
      </c>
      <c r="G45" s="27" t="s">
        <v>1534</v>
      </c>
      <c r="H45" s="28" t="str">
        <f>CONCATENATE(SUMIF($E$6:$E45,$E45,$K$6:$K$370)," / ",SUMIF($E$6:$E$370,$E45,$K$6:$K$370))</f>
        <v>26 / 66</v>
      </c>
      <c r="I45" s="28" t="str">
        <f>CONCATENATE(SUMIF($F$6:$F45,$F45,$K$6:$K$370)," / ",SUMIF($F$6:$F$370,$F45,$K$6:$K$370))</f>
        <v>113,5 / 341</v>
      </c>
      <c r="J45" s="28" t="str">
        <f>CONCATENATE(SUM($K$6:$K45)," / ",SUM($K$6:$K$370))</f>
        <v>340,2 / 651,895</v>
      </c>
      <c r="K45" s="244">
        <v>8</v>
      </c>
      <c r="L45" s="28" t="s">
        <v>620</v>
      </c>
      <c r="M45" s="28" t="str">
        <f>CONCATENATE(SUMIF($E$6:$E45,$E45,$P$6:$P$370)," / ",SUMIF($E$6:$E$370,$E45,$P$6:$P$370))</f>
        <v>76 / 153</v>
      </c>
      <c r="N45" s="28" t="str">
        <f ca="1">CONCATENATE(SUMIF($F$6:$F45,$F45,$P45)," / ",SUMIF($F$6:$F$370,$F45,$P$6:$P$370))</f>
        <v>0 / 447</v>
      </c>
      <c r="O45" s="28" t="str">
        <f>CONCATENATE(SUM($P$6:$P45)," / ",SUM($P$6:$P409))</f>
        <v>187 / 528</v>
      </c>
      <c r="P45" s="244">
        <v>0</v>
      </c>
      <c r="Q45" s="28"/>
      <c r="R45" s="245">
        <v>0</v>
      </c>
      <c r="S45" s="28" t="str">
        <f>CONCATENATE(SUMIF($E$6:$E45,E45,$R$6:$R$370)," / ",SUMIF($E$6:$E$370,E45,$R$6:$R$370))</f>
        <v>0 / 0</v>
      </c>
      <c r="T45" s="28" t="str">
        <f>CONCATENATE(SUMIF($F$6:$F45,$F45,$R$6:$R$370)," / ",SUMIF($F$6:$F$370,$F45,$R$6:$R$370))</f>
        <v>0 / 0</v>
      </c>
      <c r="U45" s="28" t="str">
        <f>CONCATENATE(SUM($R$6:$R45)," / ",SUM($R$6:$R$370))</f>
        <v>0 / 0</v>
      </c>
    </row>
    <row r="46" spans="2:21" ht="13" thickBot="1">
      <c r="B46" s="399">
        <v>42410</v>
      </c>
      <c r="C46" s="35" t="str">
        <f t="shared" si="0"/>
        <v>Mercredi</v>
      </c>
      <c r="D46" s="35">
        <f t="shared" si="3"/>
        <v>41</v>
      </c>
      <c r="E46" s="124">
        <f t="shared" si="1"/>
        <v>7</v>
      </c>
      <c r="F46" s="124">
        <f t="shared" si="2"/>
        <v>2</v>
      </c>
      <c r="G46" s="27" t="s">
        <v>1537</v>
      </c>
      <c r="H46" s="28" t="str">
        <f>CONCATENATE(SUMIF($E$6:$E46,$E46,$K$6:$K$370)," / ",SUMIF($E$6:$E$370,$E46,$K$6:$K$370))</f>
        <v>38 / 66</v>
      </c>
      <c r="I46" s="28" t="str">
        <f>CONCATENATE(SUMIF($F$6:$F46,$F46,$K$6:$K$370)," / ",SUMIF($F$6:$F$370,$F46,$K$6:$K$370))</f>
        <v>125,5 / 341</v>
      </c>
      <c r="J46" s="28" t="str">
        <f>CONCATENATE(SUM($K$6:$K46)," / ",SUM($K$6:$K$370))</f>
        <v>352,2 / 651,895</v>
      </c>
      <c r="K46" s="244">
        <v>12</v>
      </c>
      <c r="L46" s="28" t="s">
        <v>620</v>
      </c>
      <c r="M46" s="28" t="str">
        <f>CONCATENATE(SUMIF($E$6:$E46,$E46,$P$6:$P$370)," / ",SUMIF($E$6:$E$370,$E46,$P$6:$P$370))</f>
        <v>111 / 153</v>
      </c>
      <c r="N46" s="28" t="str">
        <f ca="1">CONCATENATE(SUMIF($F$6:$F46,$F46,$P46)," / ",SUMIF($F$6:$F$370,$F46,$P$6:$P$370))</f>
        <v>0 / 447</v>
      </c>
      <c r="O46" s="28" t="str">
        <f>CONCATENATE(SUM($P$6:$P46)," / ",SUM($P$6:$P410))</f>
        <v>222 / 528</v>
      </c>
      <c r="P46" s="244">
        <v>35</v>
      </c>
      <c r="Q46" s="28" t="s">
        <v>488</v>
      </c>
      <c r="R46" s="245">
        <v>0</v>
      </c>
      <c r="S46" s="28" t="str">
        <f>CONCATENATE(SUMIF($E$6:$E46,E46,$R$6:$R$370)," / ",SUMIF($E$6:$E$370,E46,$R$6:$R$370))</f>
        <v>0 / 0</v>
      </c>
      <c r="T46" s="28" t="str">
        <f>CONCATENATE(SUMIF($F$6:$F46,$F46,$R$6:$R$370)," / ",SUMIF($F$6:$F$370,$F46,$R$6:$R$370))</f>
        <v>0 / 0</v>
      </c>
      <c r="U46" s="28" t="str">
        <f>CONCATENATE(SUM($R$6:$R46)," / ",SUM($R$6:$R$370))</f>
        <v>0 / 0</v>
      </c>
    </row>
    <row r="47" spans="2:21" ht="13" thickBot="1">
      <c r="B47" s="399">
        <v>42411</v>
      </c>
      <c r="C47" s="35" t="str">
        <f t="shared" si="0"/>
        <v>Jeudi</v>
      </c>
      <c r="D47" s="35">
        <f t="shared" si="3"/>
        <v>42</v>
      </c>
      <c r="E47" s="124">
        <f t="shared" si="1"/>
        <v>7</v>
      </c>
      <c r="F47" s="124">
        <f t="shared" si="2"/>
        <v>2</v>
      </c>
      <c r="G47" s="27" t="s">
        <v>1534</v>
      </c>
      <c r="H47" s="28" t="str">
        <f>CONCATENATE(SUMIF($E$6:$E47,$E47,$K$6:$K$370)," / ",SUMIF($E$6:$E$370,$E47,$K$6:$K$370))</f>
        <v>45 / 66</v>
      </c>
      <c r="I47" s="28" t="str">
        <f>CONCATENATE(SUMIF($F$6:$F47,$F47,$K$6:$K$370)," / ",SUMIF($F$6:$F$370,$F47,$K$6:$K$370))</f>
        <v>132,5 / 341</v>
      </c>
      <c r="J47" s="28" t="str">
        <f>CONCATENATE(SUM($K$6:$K47)," / ",SUM($K$6:$K$370))</f>
        <v>359,2 / 651,895</v>
      </c>
      <c r="K47" s="244">
        <v>7</v>
      </c>
      <c r="L47" s="28" t="s">
        <v>620</v>
      </c>
      <c r="M47" s="28" t="str">
        <f>CONCATENATE(SUMIF($E$6:$E47,$E47,$P$6:$P$370)," / ",SUMIF($E$6:$E$370,$E47,$P$6:$P$370))</f>
        <v>111 / 153</v>
      </c>
      <c r="N47" s="28" t="str">
        <f ca="1">CONCATENATE(SUMIF($F$6:$F47,$F47,$P47)," / ",SUMIF($F$6:$F$370,$F47,$P$6:$P$370))</f>
        <v>0 / 447</v>
      </c>
      <c r="O47" s="28" t="str">
        <f>CONCATENATE(SUM($P$6:$P47)," / ",SUM($P$6:$P411))</f>
        <v>222 / 528</v>
      </c>
      <c r="P47" s="244">
        <v>0</v>
      </c>
      <c r="Q47" s="28"/>
      <c r="R47" s="245">
        <v>0</v>
      </c>
      <c r="S47" s="28" t="str">
        <f>CONCATENATE(SUMIF($E$6:$E47,E47,$R$6:$R$370)," / ",SUMIF($E$6:$E$370,E47,$R$6:$R$370))</f>
        <v>0 / 0</v>
      </c>
      <c r="T47" s="28" t="str">
        <f>CONCATENATE(SUMIF($F$6:$F47,$F47,$R$6:$R$370)," / ",SUMIF($F$6:$F$370,$F47,$R$6:$R$370))</f>
        <v>0 / 0</v>
      </c>
      <c r="U47" s="28" t="str">
        <f>CONCATENATE(SUM($R$6:$R47)," / ",SUM($R$6:$R$370))</f>
        <v>0 / 0</v>
      </c>
    </row>
    <row r="48" spans="2:21" ht="13" thickBot="1">
      <c r="B48" s="399">
        <v>42412</v>
      </c>
      <c r="C48" s="35" t="str">
        <f t="shared" si="0"/>
        <v>Vendredi</v>
      </c>
      <c r="D48" s="35">
        <f t="shared" si="3"/>
        <v>43</v>
      </c>
      <c r="E48" s="124">
        <f t="shared" si="1"/>
        <v>7</v>
      </c>
      <c r="F48" s="124">
        <f t="shared" si="2"/>
        <v>2</v>
      </c>
      <c r="G48" s="27"/>
      <c r="H48" s="28" t="str">
        <f>CONCATENATE(SUMIF($E$6:$E48,$E48,$K$6:$K$370)," / ",SUMIF($E$6:$E$370,$E48,$K$6:$K$370))</f>
        <v>45 / 66</v>
      </c>
      <c r="I48" s="28" t="str">
        <f>CONCATENATE(SUMIF($F$6:$F48,$F48,$K$6:$K$370)," / ",SUMIF($F$6:$F$370,$F48,$K$6:$K$370))</f>
        <v>132,5 / 341</v>
      </c>
      <c r="J48" s="28" t="str">
        <f>CONCATENATE(SUM($K$6:$K48)," / ",SUM($K$6:$K$370))</f>
        <v>359,2 / 651,895</v>
      </c>
      <c r="K48" s="244">
        <v>0</v>
      </c>
      <c r="L48" s="28"/>
      <c r="M48" s="28" t="str">
        <f>CONCATENATE(SUMIF($E$6:$E48,$E48,$P$6:$P$370)," / ",SUMIF($E$6:$E$370,$E48,$P$6:$P$370))</f>
        <v>111 / 153</v>
      </c>
      <c r="N48" s="28" t="str">
        <f ca="1">CONCATENATE(SUMIF($F$6:$F48,$F48,$P48)," / ",SUMIF($F$6:$F$370,$F48,$P$6:$P$370))</f>
        <v>0 / 447</v>
      </c>
      <c r="O48" s="28" t="str">
        <f>CONCATENATE(SUM($P$6:$P48)," / ",SUM($P$6:$P412))</f>
        <v>222 / 528</v>
      </c>
      <c r="P48" s="244">
        <v>0</v>
      </c>
      <c r="Q48" s="28"/>
      <c r="R48" s="245">
        <v>0</v>
      </c>
      <c r="S48" s="28" t="str">
        <f>CONCATENATE(SUMIF($E$6:$E48,E48,$R$6:$R$370)," / ",SUMIF($E$6:$E$370,E48,$R$6:$R$370))</f>
        <v>0 / 0</v>
      </c>
      <c r="T48" s="28" t="str">
        <f>CONCATENATE(SUMIF($F$6:$F48,$F48,$R$6:$R$370)," / ",SUMIF($F$6:$F$370,$F48,$R$6:$R$370))</f>
        <v>0 / 0</v>
      </c>
      <c r="U48" s="28" t="str">
        <f>CONCATENATE(SUM($R$6:$R48)," / ",SUM($R$6:$R$370))</f>
        <v>0 / 0</v>
      </c>
    </row>
    <row r="49" spans="2:21" ht="16" thickBot="1">
      <c r="B49" s="399">
        <v>42413</v>
      </c>
      <c r="C49" s="35" t="str">
        <f t="shared" si="0"/>
        <v>Samedi</v>
      </c>
      <c r="D49" s="35">
        <f t="shared" si="3"/>
        <v>44</v>
      </c>
      <c r="E49" s="193">
        <f t="shared" si="1"/>
        <v>7</v>
      </c>
      <c r="F49" s="193">
        <f t="shared" si="2"/>
        <v>2</v>
      </c>
      <c r="G49" s="385" t="s">
        <v>1530</v>
      </c>
      <c r="H49" s="28" t="str">
        <f>CONCATENATE(SUMIF($E$6:$E49,$E49,$K$6:$K$370)," / ",SUMIF($E$6:$E$370,$E49,$K$6:$K$370))</f>
        <v>66 / 66</v>
      </c>
      <c r="I49" s="28" t="str">
        <f>CONCATENATE(SUMIF($F$6:$F49,$F49,$K$6:$K$370)," / ",SUMIF($F$6:$F$370,$F49,$K$6:$K$370))</f>
        <v>153,5 / 341</v>
      </c>
      <c r="J49" s="28" t="str">
        <f>CONCATENATE(SUM($K$6:$K49)," / ",SUM($K$6:$K$370))</f>
        <v>380,2 / 651,895</v>
      </c>
      <c r="K49" s="244">
        <v>21</v>
      </c>
      <c r="L49" s="28" t="s">
        <v>620</v>
      </c>
      <c r="M49" s="28" t="str">
        <f>CONCATENATE(SUMIF($E$6:$E49,$E49,$P$6:$P$370)," / ",SUMIF($E$6:$E$370,$E49,$P$6:$P$370))</f>
        <v>153 / 153</v>
      </c>
      <c r="N49" s="28" t="str">
        <f ca="1">CONCATENATE(SUMIF($F$6:$F49,$F49,$P49)," / ",SUMIF($F$6:$F$370,$F49,$P$6:$P$370))</f>
        <v>0 / 447</v>
      </c>
      <c r="O49" s="28" t="str">
        <f>CONCATENATE(SUM($P$6:$P49)," / ",SUM($P$6:$P413))</f>
        <v>264 / 528</v>
      </c>
      <c r="P49" s="244">
        <v>42</v>
      </c>
      <c r="Q49" s="28" t="s">
        <v>488</v>
      </c>
      <c r="R49" s="245">
        <v>0</v>
      </c>
      <c r="S49" s="28" t="str">
        <f>CONCATENATE(SUMIF($E$6:$E49,E49,$R$6:$R$370)," / ",SUMIF($E$6:$E$370,E49,$R$6:$R$370))</f>
        <v>0 / 0</v>
      </c>
      <c r="T49" s="28" t="str">
        <f>CONCATENATE(SUMIF($F$6:$F49,$F49,$R$6:$R$370)," / ",SUMIF($F$6:$F$370,$F49,$R$6:$R$370))</f>
        <v>0 / 0</v>
      </c>
      <c r="U49" s="28" t="str">
        <f>CONCATENATE(SUM($R$6:$R49)," / ",SUM($R$6:$R$370))</f>
        <v>0 / 0</v>
      </c>
    </row>
    <row r="50" spans="2:21" ht="13" thickBot="1">
      <c r="B50" s="399">
        <v>42414</v>
      </c>
      <c r="C50" s="35" t="str">
        <f t="shared" si="0"/>
        <v>Dimanche</v>
      </c>
      <c r="D50" s="35">
        <f t="shared" si="3"/>
        <v>45</v>
      </c>
      <c r="E50" s="124">
        <f t="shared" si="1"/>
        <v>8</v>
      </c>
      <c r="F50" s="124">
        <f t="shared" si="2"/>
        <v>2</v>
      </c>
      <c r="G50" s="27" t="s">
        <v>1536</v>
      </c>
      <c r="H50" s="28" t="str">
        <f>CONCATENATE(SUMIF($E$6:$E50,$E50,$K$6:$K$370)," / ",SUMIF($E$6:$E$370,$E50,$K$6:$K$370))</f>
        <v>9 / 57,5</v>
      </c>
      <c r="I50" s="28" t="str">
        <f>CONCATENATE(SUMIF($F$6:$F50,$F50,$K$6:$K$370)," / ",SUMIF($F$6:$F$370,$F50,$K$6:$K$370))</f>
        <v>162,5 / 341</v>
      </c>
      <c r="J50" s="28" t="str">
        <f>CONCATENATE(SUM($K$6:$K50)," / ",SUM($K$6:$K$370))</f>
        <v>389,2 / 651,895</v>
      </c>
      <c r="K50" s="244">
        <v>9</v>
      </c>
      <c r="L50" s="28" t="s">
        <v>631</v>
      </c>
      <c r="M50" s="28" t="str">
        <f>CONCATENATE(SUMIF($E$6:$E50,$E50,$P$6:$P$370)," / ",SUMIF($E$6:$E$370,$E50,$P$6:$P$370))</f>
        <v>37 / 73</v>
      </c>
      <c r="N50" s="28" t="str">
        <f ca="1">CONCATENATE(SUMIF($F$6:$F50,$F50,$P50)," / ",SUMIF($F$6:$F$370,$F50,$P$6:$P$370))</f>
        <v>0 / 447</v>
      </c>
      <c r="O50" s="28" t="str">
        <f>CONCATENATE(SUM($P$6:$P50)," / ",SUM($P$6:$P414))</f>
        <v>301 / 528</v>
      </c>
      <c r="P50" s="244">
        <v>37</v>
      </c>
      <c r="Q50" s="28" t="s">
        <v>488</v>
      </c>
      <c r="R50" s="245">
        <v>0</v>
      </c>
      <c r="S50" s="28" t="str">
        <f>CONCATENATE(SUMIF($E$6:$E50,E50,$R$6:$R$370)," / ",SUMIF($E$6:$E$370,E50,$R$6:$R$370))</f>
        <v>0 / 0</v>
      </c>
      <c r="T50" s="28" t="str">
        <f>CONCATENATE(SUMIF($F$6:$F50,$F50,$R$6:$R$370)," / ",SUMIF($F$6:$F$370,$F50,$R$6:$R$370))</f>
        <v>0 / 0</v>
      </c>
      <c r="U50" s="28" t="str">
        <f>CONCATENATE(SUM($R$6:$R50)," / ",SUM($R$6:$R$370))</f>
        <v>0 / 0</v>
      </c>
    </row>
    <row r="51" spans="2:21" ht="13" thickBot="1">
      <c r="B51" s="399">
        <v>42415</v>
      </c>
      <c r="C51" s="35" t="str">
        <f t="shared" si="0"/>
        <v>Lundi</v>
      </c>
      <c r="D51" s="35">
        <f t="shared" si="3"/>
        <v>46</v>
      </c>
      <c r="E51" s="124">
        <f t="shared" si="1"/>
        <v>8</v>
      </c>
      <c r="F51" s="124">
        <f t="shared" si="2"/>
        <v>2</v>
      </c>
      <c r="G51" s="27"/>
      <c r="H51" s="28" t="str">
        <f>CONCATENATE(SUMIF($E$6:$E51,$E51,$K$6:$K$370)," / ",SUMIF($E$6:$E$370,$E51,$K$6:$K$370))</f>
        <v>9 / 57,5</v>
      </c>
      <c r="I51" s="28" t="str">
        <f>CONCATENATE(SUMIF($F$6:$F51,$F51,$K$6:$K$370)," / ",SUMIF($F$6:$F$370,$F51,$K$6:$K$370))</f>
        <v>162,5 / 341</v>
      </c>
      <c r="J51" s="28" t="str">
        <f>CONCATENATE(SUM($K$6:$K51)," / ",SUM($K$6:$K$370))</f>
        <v>389,2 / 651,895</v>
      </c>
      <c r="K51" s="244">
        <v>0</v>
      </c>
      <c r="L51" s="28"/>
      <c r="M51" s="28" t="str">
        <f>CONCATENATE(SUMIF($E$6:$E51,$E51,$P$6:$P$370)," / ",SUMIF($E$6:$E$370,$E51,$P$6:$P$370))</f>
        <v>37 / 73</v>
      </c>
      <c r="N51" s="28" t="str">
        <f ca="1">CONCATENATE(SUMIF($F$6:$F51,$F51,$P51)," / ",SUMIF($F$6:$F$370,$F51,$P$6:$P$370))</f>
        <v>0 / 447</v>
      </c>
      <c r="O51" s="28" t="str">
        <f>CONCATENATE(SUM($P$6:$P51)," / ",SUM($P$6:$P415))</f>
        <v>301 / 528</v>
      </c>
      <c r="P51" s="244">
        <v>0</v>
      </c>
      <c r="Q51" s="28"/>
      <c r="R51" s="245">
        <v>0</v>
      </c>
      <c r="S51" s="28" t="str">
        <f>CONCATENATE(SUMIF($E$6:$E51,E51,$R$6:$R$370)," / ",SUMIF($E$6:$E$370,E51,$R$6:$R$370))</f>
        <v>0 / 0</v>
      </c>
      <c r="T51" s="28" t="str">
        <f>CONCATENATE(SUMIF($F$6:$F51,$F51,$R$6:$R$370)," / ",SUMIF($F$6:$F$370,$F51,$R$6:$R$370))</f>
        <v>0 / 0</v>
      </c>
      <c r="U51" s="28" t="str">
        <f>CONCATENATE(SUM($R$6:$R51)," / ",SUM($R$6:$R$370))</f>
        <v>0 / 0</v>
      </c>
    </row>
    <row r="52" spans="2:21" ht="13" thickBot="1">
      <c r="B52" s="399">
        <v>42416</v>
      </c>
      <c r="C52" s="35" t="str">
        <f t="shared" si="0"/>
        <v>Mardi</v>
      </c>
      <c r="D52" s="35">
        <f t="shared" si="3"/>
        <v>47</v>
      </c>
      <c r="E52" s="124">
        <f t="shared" si="1"/>
        <v>8</v>
      </c>
      <c r="F52" s="124">
        <f t="shared" si="2"/>
        <v>2</v>
      </c>
      <c r="G52" s="27" t="s">
        <v>1539</v>
      </c>
      <c r="H52" s="28" t="str">
        <f>CONCATENATE(SUMIF($E$6:$E52,$E52,$K$6:$K$370)," / ",SUMIF($E$6:$E$370,$E52,$K$6:$K$370))</f>
        <v>29 / 57,5</v>
      </c>
      <c r="I52" s="28" t="str">
        <f>CONCATENATE(SUMIF($F$6:$F52,$F52,$K$6:$K$370)," / ",SUMIF($F$6:$F$370,$F52,$K$6:$K$370))</f>
        <v>182,5 / 341</v>
      </c>
      <c r="J52" s="28" t="str">
        <f>CONCATENATE(SUM($K$6:$K52)," / ",SUM($K$6:$K$370))</f>
        <v>409,2 / 651,895</v>
      </c>
      <c r="K52" s="244">
        <v>20</v>
      </c>
      <c r="L52" s="28" t="s">
        <v>620</v>
      </c>
      <c r="M52" s="28" t="str">
        <f>CONCATENATE(SUMIF($E$6:$E52,$E52,$P$6:$P$370)," / ",SUMIF($E$6:$E$370,$E52,$P$6:$P$370))</f>
        <v>37 / 73</v>
      </c>
      <c r="N52" s="28" t="str">
        <f ca="1">CONCATENATE(SUMIF($F$6:$F52,$F52,$P52)," / ",SUMIF($F$6:$F$370,$F52,$P$6:$P$370))</f>
        <v>0 / 447</v>
      </c>
      <c r="O52" s="28" t="str">
        <f>CONCATENATE(SUM($P$6:$P52)," / ",SUM($P$6:$P416))</f>
        <v>301 / 528</v>
      </c>
      <c r="P52" s="244">
        <v>0</v>
      </c>
      <c r="Q52" s="28"/>
      <c r="R52" s="245">
        <v>0</v>
      </c>
      <c r="S52" s="28" t="str">
        <f>CONCATENATE(SUMIF($E$6:$E52,E52,$R$6:$R$370)," / ",SUMIF($E$6:$E$370,E52,$R$6:$R$370))</f>
        <v>0 / 0</v>
      </c>
      <c r="T52" s="28" t="str">
        <f>CONCATENATE(SUMIF($F$6:$F52,$F52,$R$6:$R$370)," / ",SUMIF($F$6:$F$370,$F52,$R$6:$R$370))</f>
        <v>0 / 0</v>
      </c>
      <c r="U52" s="28" t="str">
        <f>CONCATENATE(SUM($R$6:$R52)," / ",SUM($R$6:$R$370))</f>
        <v>0 / 0</v>
      </c>
    </row>
    <row r="53" spans="2:21" ht="13" thickBot="1">
      <c r="B53" s="399">
        <v>42417</v>
      </c>
      <c r="C53" s="35" t="str">
        <f t="shared" si="0"/>
        <v>Mercredi</v>
      </c>
      <c r="D53" s="35">
        <f t="shared" si="3"/>
        <v>48</v>
      </c>
      <c r="E53" s="124">
        <f t="shared" si="1"/>
        <v>8</v>
      </c>
      <c r="F53" s="124">
        <f t="shared" si="2"/>
        <v>2</v>
      </c>
      <c r="G53" s="27" t="s">
        <v>1541</v>
      </c>
      <c r="H53" s="28" t="str">
        <f>CONCATENATE(SUMIF($E$6:$E53,$E53,$K$6:$K$370)," / ",SUMIF($E$6:$E$370,$E53,$K$6:$K$370))</f>
        <v>40 / 57,5</v>
      </c>
      <c r="I53" s="28" t="str">
        <f>CONCATENATE(SUMIF($F$6:$F53,$F53,$K$6:$K$370)," / ",SUMIF($F$6:$F$370,$F53,$K$6:$K$370))</f>
        <v>193,5 / 341</v>
      </c>
      <c r="J53" s="28" t="str">
        <f>CONCATENATE(SUM($K$6:$K53)," / ",SUM($K$6:$K$370))</f>
        <v>420,2 / 651,895</v>
      </c>
      <c r="K53" s="244">
        <v>11</v>
      </c>
      <c r="L53" s="28" t="s">
        <v>575</v>
      </c>
      <c r="M53" s="28" t="str">
        <f>CONCATENATE(SUMIF($E$6:$E53,$E53,$P$6:$P$370)," / ",SUMIF($E$6:$E$370,$E53,$P$6:$P$370))</f>
        <v>37 / 73</v>
      </c>
      <c r="N53" s="28" t="str">
        <f ca="1">CONCATENATE(SUMIF($F$6:$F53,$F53,$P53)," / ",SUMIF($F$6:$F$370,$F53,$P$6:$P$370))</f>
        <v>0 / 447</v>
      </c>
      <c r="O53" s="28" t="str">
        <f>CONCATENATE(SUM($P$6:$P53)," / ",SUM($P$6:$P417))</f>
        <v>301 / 528</v>
      </c>
      <c r="P53" s="244">
        <v>0</v>
      </c>
      <c r="Q53" s="28"/>
      <c r="R53" s="245">
        <v>0</v>
      </c>
      <c r="S53" s="28" t="str">
        <f>CONCATENATE(SUMIF($E$6:$E53,E53,$R$6:$R$370)," / ",SUMIF($E$6:$E$370,E53,$R$6:$R$370))</f>
        <v>0 / 0</v>
      </c>
      <c r="T53" s="28" t="str">
        <f>CONCATENATE(SUMIF($F$6:$F53,$F53,$R$6:$R$370)," / ",SUMIF($F$6:$F$370,$F53,$R$6:$R$370))</f>
        <v>0 / 0</v>
      </c>
      <c r="U53" s="28" t="str">
        <f>CONCATENATE(SUM($R$6:$R53)," / ",SUM($R$6:$R$370))</f>
        <v>0 / 0</v>
      </c>
    </row>
    <row r="54" spans="2:21" ht="13" thickBot="1">
      <c r="B54" s="399">
        <v>42418</v>
      </c>
      <c r="C54" s="35" t="str">
        <f t="shared" si="0"/>
        <v>Jeudi</v>
      </c>
      <c r="D54" s="35">
        <f t="shared" si="3"/>
        <v>49</v>
      </c>
      <c r="E54" s="124">
        <f t="shared" si="1"/>
        <v>8</v>
      </c>
      <c r="F54" s="124">
        <f t="shared" si="2"/>
        <v>2</v>
      </c>
      <c r="G54" s="27" t="s">
        <v>1540</v>
      </c>
      <c r="H54" s="28" t="str">
        <f>CONCATENATE(SUMIF($E$6:$E54,$E54,$K$6:$K$370)," / ",SUMIF($E$6:$E$370,$E54,$K$6:$K$370))</f>
        <v>48,5 / 57,5</v>
      </c>
      <c r="I54" s="28" t="str">
        <f>CONCATENATE(SUMIF($F$6:$F54,$F54,$K$6:$K$370)," / ",SUMIF($F$6:$F$370,$F54,$K$6:$K$370))</f>
        <v>202 / 341</v>
      </c>
      <c r="J54" s="28" t="str">
        <f>CONCATENATE(SUM($K$6:$K54)," / ",SUM($K$6:$K$370))</f>
        <v>428,7 / 651,895</v>
      </c>
      <c r="K54" s="244">
        <v>8.5</v>
      </c>
      <c r="L54" s="28" t="s">
        <v>575</v>
      </c>
      <c r="M54" s="28" t="str">
        <f>CONCATENATE(SUMIF($E$6:$E54,$E54,$P$6:$P$370)," / ",SUMIF($E$6:$E$370,$E54,$P$6:$P$370))</f>
        <v>37 / 73</v>
      </c>
      <c r="N54" s="28" t="str">
        <f ca="1">CONCATENATE(SUMIF($F$6:$F54,$F54,$P54)," / ",SUMIF($F$6:$F$370,$F54,$P$6:$P$370))</f>
        <v>0 / 447</v>
      </c>
      <c r="O54" s="28" t="str">
        <f>CONCATENATE(SUM($P$6:$P54)," / ",SUM($P$6:$P418))</f>
        <v>301 / 528</v>
      </c>
      <c r="P54" s="244">
        <v>0</v>
      </c>
      <c r="Q54" s="28"/>
      <c r="R54" s="245">
        <v>0</v>
      </c>
      <c r="S54" s="28" t="str">
        <f>CONCATENATE(SUMIF($E$6:$E54,E54,$R$6:$R$370)," / ",SUMIF($E$6:$E$370,E54,$R$6:$R$370))</f>
        <v>0 / 0</v>
      </c>
      <c r="T54" s="28" t="str">
        <f>CONCATENATE(SUMIF($F$6:$F54,$F54,$R$6:$R$370)," / ",SUMIF($F$6:$F$370,$F54,$R$6:$R$370))</f>
        <v>0 / 0</v>
      </c>
      <c r="U54" s="28" t="str">
        <f>CONCATENATE(SUM($R$6:$R54)," / ",SUM($R$6:$R$370))</f>
        <v>0 / 0</v>
      </c>
    </row>
    <row r="55" spans="2:21" ht="13" thickBot="1">
      <c r="B55" s="399">
        <v>42419</v>
      </c>
      <c r="C55" s="35" t="str">
        <f t="shared" si="0"/>
        <v>Vendredi</v>
      </c>
      <c r="D55" s="35">
        <f t="shared" si="3"/>
        <v>50</v>
      </c>
      <c r="E55" s="124">
        <f t="shared" si="1"/>
        <v>8</v>
      </c>
      <c r="F55" s="124">
        <f t="shared" si="2"/>
        <v>2</v>
      </c>
      <c r="G55" s="27"/>
      <c r="H55" s="28" t="str">
        <f>CONCATENATE(SUMIF($E$6:$E55,$E55,$K$6:$K$370)," / ",SUMIF($E$6:$E$370,$E55,$K$6:$K$370))</f>
        <v>48,5 / 57,5</v>
      </c>
      <c r="I55" s="28" t="str">
        <f>CONCATENATE(SUMIF($F$6:$F55,$F55,$K$6:$K$370)," / ",SUMIF($F$6:$F$370,$F55,$K$6:$K$370))</f>
        <v>202 / 341</v>
      </c>
      <c r="J55" s="28" t="str">
        <f>CONCATENATE(SUM($K$6:$K55)," / ",SUM($K$6:$K$370))</f>
        <v>428,7 / 651,895</v>
      </c>
      <c r="K55" s="244">
        <v>0</v>
      </c>
      <c r="L55" s="28"/>
      <c r="M55" s="28" t="str">
        <f>CONCATENATE(SUMIF($E$6:$E55,$E55,$P$6:$P$370)," / ",SUMIF($E$6:$E$370,$E55,$P$6:$P$370))</f>
        <v>37 / 73</v>
      </c>
      <c r="N55" s="28" t="str">
        <f ca="1">CONCATENATE(SUMIF($F$6:$F55,$F55,$P55)," / ",SUMIF($F$6:$F$370,$F55,$P$6:$P$370))</f>
        <v>0 / 447</v>
      </c>
      <c r="O55" s="28" t="str">
        <f>CONCATENATE(SUM($P$6:$P55)," / ",SUM($P$6:$P419))</f>
        <v>301 / 528</v>
      </c>
      <c r="P55" s="244">
        <v>0</v>
      </c>
      <c r="Q55" s="28"/>
      <c r="R55" s="245">
        <v>0</v>
      </c>
      <c r="S55" s="28" t="str">
        <f>CONCATENATE(SUMIF($E$6:$E55,E55,$R$6:$R$370)," / ",SUMIF($E$6:$E$370,E55,$R$6:$R$370))</f>
        <v>0 / 0</v>
      </c>
      <c r="T55" s="28" t="str">
        <f>CONCATENATE(SUMIF($F$6:$F55,$F55,$R$6:$R$370)," / ",SUMIF($F$6:$F$370,$F55,$R$6:$R$370))</f>
        <v>0 / 0</v>
      </c>
      <c r="U55" s="28" t="str">
        <f>CONCATENATE(SUM($R$6:$R55)," / ",SUM($R$6:$R$370))</f>
        <v>0 / 0</v>
      </c>
    </row>
    <row r="56" spans="2:21" ht="16" thickBot="1">
      <c r="B56" s="399">
        <v>42420</v>
      </c>
      <c r="C56" s="35" t="str">
        <f t="shared" si="0"/>
        <v>Samedi</v>
      </c>
      <c r="D56" s="35">
        <f t="shared" si="3"/>
        <v>51</v>
      </c>
      <c r="E56" s="193">
        <f t="shared" si="1"/>
        <v>8</v>
      </c>
      <c r="F56" s="193">
        <f t="shared" si="2"/>
        <v>2</v>
      </c>
      <c r="G56" s="195" t="s">
        <v>1493</v>
      </c>
      <c r="H56" s="28" t="str">
        <f>CONCATENATE(SUMIF($E$6:$E56,$E56,$K$6:$K$370)," / ",SUMIF($E$6:$E$370,$E56,$K$6:$K$370))</f>
        <v>57,5 / 57,5</v>
      </c>
      <c r="I56" s="28" t="str">
        <f>CONCATENATE(SUMIF($F$6:$F56,$F56,$K$6:$K$370)," / ",SUMIF($F$6:$F$370,$F56,$K$6:$K$370))</f>
        <v>211 / 341</v>
      </c>
      <c r="J56" s="28" t="str">
        <f>CONCATENATE(SUM($K$6:$K56)," / ",SUM($K$6:$K$370))</f>
        <v>437,7 / 651,895</v>
      </c>
      <c r="K56" s="244">
        <v>9</v>
      </c>
      <c r="L56" s="28" t="s">
        <v>620</v>
      </c>
      <c r="M56" s="28" t="str">
        <f>CONCATENATE(SUMIF($E$6:$E56,$E56,$P$6:$P$370)," / ",SUMIF($E$6:$E$370,$E56,$P$6:$P$370))</f>
        <v>73 / 73</v>
      </c>
      <c r="N56" s="28" t="str">
        <f ca="1">CONCATENATE(SUMIF($F$6:$F56,$F56,$P56)," / ",SUMIF($F$6:$F$370,$F56,$P$6:$P$370))</f>
        <v>0 / 447</v>
      </c>
      <c r="O56" s="28" t="str">
        <f>CONCATENATE(SUM($P$6:$P56)," / ",SUM($P$6:$P420))</f>
        <v>337 / 528</v>
      </c>
      <c r="P56" s="244">
        <v>36</v>
      </c>
      <c r="Q56" s="28" t="s">
        <v>488</v>
      </c>
      <c r="R56" s="245">
        <v>0</v>
      </c>
      <c r="S56" s="28" t="str">
        <f>CONCATENATE(SUMIF($E$6:$E56,E56,$R$6:$R$370)," / ",SUMIF($E$6:$E$370,E56,$R$6:$R$370))</f>
        <v>0 / 0</v>
      </c>
      <c r="T56" s="28" t="str">
        <f>CONCATENATE(SUMIF($F$6:$F56,$F56,$R$6:$R$370)," / ",SUMIF($F$6:$F$370,$F56,$R$6:$R$370))</f>
        <v>0 / 0</v>
      </c>
      <c r="U56" s="28" t="str">
        <f>CONCATENATE(SUM($R$6:$R56)," / ",SUM($R$6:$R$370))</f>
        <v>0 / 0</v>
      </c>
    </row>
    <row r="57" spans="2:21" ht="13" thickBot="1">
      <c r="B57" s="399">
        <v>42421</v>
      </c>
      <c r="C57" s="35" t="str">
        <f t="shared" si="0"/>
        <v>Dimanche</v>
      </c>
      <c r="D57" s="35">
        <f t="shared" si="3"/>
        <v>52</v>
      </c>
      <c r="E57" s="124">
        <f t="shared" si="1"/>
        <v>9</v>
      </c>
      <c r="F57" s="124">
        <f t="shared" si="2"/>
        <v>2</v>
      </c>
      <c r="G57" s="27" t="s">
        <v>1543</v>
      </c>
      <c r="H57" s="28" t="str">
        <f>CONCATENATE(SUMIF($E$6:$E57,$E57,$K$6:$K$370)," / ",SUMIF($E$6:$E$370,$E57,$K$6:$K$370))</f>
        <v>24 / 98</v>
      </c>
      <c r="I57" s="28" t="str">
        <f>CONCATENATE(SUMIF($F$6:$F57,$F57,$K$6:$K$370)," / ",SUMIF($F$6:$F$370,$F57,$K$6:$K$370))</f>
        <v>235 / 341</v>
      </c>
      <c r="J57" s="28" t="str">
        <f>CONCATENATE(SUM($K$6:$K57)," / ",SUM($K$6:$K$370))</f>
        <v>461,7 / 651,895</v>
      </c>
      <c r="K57" s="244">
        <v>24</v>
      </c>
      <c r="L57" s="28" t="s">
        <v>575</v>
      </c>
      <c r="M57" s="28" t="str">
        <f>CONCATENATE(SUMIF($E$6:$E57,$E57,$P$6:$P$370)," / ",SUMIF($E$6:$E$370,$E57,$P$6:$P$370))</f>
        <v>0 / 191</v>
      </c>
      <c r="N57" s="28" t="str">
        <f ca="1">CONCATENATE(SUMIF($F$6:$F57,$F57,$P57)," / ",SUMIF($F$6:$F$370,$F57,$P$6:$P$370))</f>
        <v>0 / 447</v>
      </c>
      <c r="O57" s="28" t="str">
        <f>CONCATENATE(SUM($P$6:$P57)," / ",SUM($P$6:$P421))</f>
        <v>337 / 528</v>
      </c>
      <c r="P57" s="244">
        <v>0</v>
      </c>
      <c r="Q57" s="28"/>
      <c r="R57" s="245">
        <v>0</v>
      </c>
      <c r="S57" s="28" t="str">
        <f>CONCATENATE(SUMIF($E$6:$E57,E57,$R$6:$R$370)," / ",SUMIF($E$6:$E$370,E57,$R$6:$R$370))</f>
        <v>0 / 0</v>
      </c>
      <c r="T57" s="28" t="str">
        <f>CONCATENATE(SUMIF($F$6:$F57,$F57,$R$6:$R$370)," / ",SUMIF($F$6:$F$370,$F57,$R$6:$R$370))</f>
        <v>0 / 0</v>
      </c>
      <c r="U57" s="28" t="str">
        <f>CONCATENATE(SUM($R$6:$R57)," / ",SUM($R$6:$R$370))</f>
        <v>0 / 0</v>
      </c>
    </row>
    <row r="58" spans="2:21" ht="13" thickBot="1">
      <c r="B58" s="399">
        <v>42422</v>
      </c>
      <c r="C58" s="35" t="str">
        <f t="shared" si="0"/>
        <v>Lundi</v>
      </c>
      <c r="D58" s="35">
        <f t="shared" si="3"/>
        <v>53</v>
      </c>
      <c r="E58" s="124">
        <f t="shared" si="1"/>
        <v>9</v>
      </c>
      <c r="F58" s="124">
        <f t="shared" si="2"/>
        <v>2</v>
      </c>
      <c r="G58" s="27" t="s">
        <v>1544</v>
      </c>
      <c r="H58" s="28" t="str">
        <f>CONCATENATE(SUMIF($E$6:$E58,$E58,$K$6:$K$370)," / ",SUMIF($E$6:$E$370,$E58,$K$6:$K$370))</f>
        <v>36 / 98</v>
      </c>
      <c r="I58" s="28" t="str">
        <f>CONCATENATE(SUMIF($F$6:$F58,$F58,$K$6:$K$370)," / ",SUMIF($F$6:$F$370,$F58,$K$6:$K$370))</f>
        <v>247 / 341</v>
      </c>
      <c r="J58" s="28" t="str">
        <f>CONCATENATE(SUM($K$6:$K58)," / ",SUM($K$6:$K$370))</f>
        <v>473,7 / 651,895</v>
      </c>
      <c r="K58" s="244">
        <v>12</v>
      </c>
      <c r="L58" s="28" t="s">
        <v>620</v>
      </c>
      <c r="M58" s="28" t="str">
        <f>CONCATENATE(SUMIF($E$6:$E58,$E58,$P$6:$P$370)," / ",SUMIF($E$6:$E$370,$E58,$P$6:$P$370))</f>
        <v>29 / 191</v>
      </c>
      <c r="N58" s="28" t="str">
        <f ca="1">CONCATENATE(SUMIF($F$6:$F58,$F58,$P58)," / ",SUMIF($F$6:$F$370,$F58,$P$6:$P$370))</f>
        <v>0 / 447</v>
      </c>
      <c r="O58" s="28" t="str">
        <f>CONCATENATE(SUM($P$6:$P58)," / ",SUM($P$6:$P422))</f>
        <v>366 / 528</v>
      </c>
      <c r="P58" s="244">
        <v>29</v>
      </c>
      <c r="Q58" s="28" t="s">
        <v>488</v>
      </c>
      <c r="R58" s="245">
        <v>0</v>
      </c>
      <c r="S58" s="28" t="str">
        <f>CONCATENATE(SUMIF($E$6:$E58,E58,$R$6:$R$370)," / ",SUMIF($E$6:$E$370,E58,$R$6:$R$370))</f>
        <v>0 / 0</v>
      </c>
      <c r="T58" s="28" t="str">
        <f>CONCATENATE(SUMIF($F$6:$F58,$F58,$R$6:$R$370)," / ",SUMIF($F$6:$F$370,$F58,$R$6:$R$370))</f>
        <v>0 / 0</v>
      </c>
      <c r="U58" s="28" t="str">
        <f>CONCATENATE(SUM($R$6:$R58)," / ",SUM($R$6:$R$370))</f>
        <v>0 / 0</v>
      </c>
    </row>
    <row r="59" spans="2:21" ht="13" thickBot="1">
      <c r="B59" s="399">
        <v>42423</v>
      </c>
      <c r="C59" s="35" t="str">
        <f t="shared" si="0"/>
        <v>Mardi</v>
      </c>
      <c r="D59" s="35">
        <f t="shared" si="3"/>
        <v>54</v>
      </c>
      <c r="E59" s="124">
        <f t="shared" si="1"/>
        <v>9</v>
      </c>
      <c r="F59" s="124">
        <f t="shared" si="2"/>
        <v>2</v>
      </c>
      <c r="G59" s="27" t="s">
        <v>1559</v>
      </c>
      <c r="H59" s="28" t="str">
        <f>CONCATENATE(SUMIF($E$6:$E59,$E59,$K$6:$K$370)," / ",SUMIF($E$6:$E$370,$E59,$K$6:$K$370))</f>
        <v>48 / 98</v>
      </c>
      <c r="I59" s="28" t="str">
        <f>CONCATENATE(SUMIF($F$6:$F59,$F59,$K$6:$K$370)," / ",SUMIF($F$6:$F$370,$F59,$K$6:$K$370))</f>
        <v>259 / 341</v>
      </c>
      <c r="J59" s="28" t="str">
        <f>CONCATENATE(SUM($K$6:$K59)," / ",SUM($K$6:$K$370))</f>
        <v>485,7 / 651,895</v>
      </c>
      <c r="K59" s="244">
        <v>12</v>
      </c>
      <c r="L59" s="28" t="s">
        <v>575</v>
      </c>
      <c r="M59" s="28" t="str">
        <f>CONCATENATE(SUMIF($E$6:$E59,$E59,$P$6:$P$370)," / ",SUMIF($E$6:$E$370,$E59,$P$6:$P$370))</f>
        <v>65 / 191</v>
      </c>
      <c r="N59" s="28" t="str">
        <f ca="1">CONCATENATE(SUMIF($F$6:$F59,$F59,$P59)," / ",SUMIF($F$6:$F$370,$F59,$P$6:$P$370))</f>
        <v>0 / 447</v>
      </c>
      <c r="O59" s="28" t="str">
        <f>CONCATENATE(SUM($P$6:$P59)," / ",SUM($P$6:$P423))</f>
        <v>402 / 528</v>
      </c>
      <c r="P59" s="244">
        <v>36</v>
      </c>
      <c r="Q59" s="28" t="s">
        <v>488</v>
      </c>
      <c r="R59" s="245">
        <v>0</v>
      </c>
      <c r="S59" s="28" t="str">
        <f>CONCATENATE(SUMIF($E$6:$E59,E59,$R$6:$R$370)," / ",SUMIF($E$6:$E$370,E59,$R$6:$R$370))</f>
        <v>0 / 0</v>
      </c>
      <c r="T59" s="28" t="str">
        <f>CONCATENATE(SUMIF($F$6:$F59,$F59,$R$6:$R$370)," / ",SUMIF($F$6:$F$370,$F59,$R$6:$R$370))</f>
        <v>0 / 0</v>
      </c>
      <c r="U59" s="28" t="str">
        <f>CONCATENATE(SUM($R$6:$R59)," / ",SUM($R$6:$R$370))</f>
        <v>0 / 0</v>
      </c>
    </row>
    <row r="60" spans="2:21" ht="13" thickBot="1">
      <c r="B60" s="399">
        <v>42424</v>
      </c>
      <c r="C60" s="35" t="str">
        <f t="shared" si="0"/>
        <v>Mercredi</v>
      </c>
      <c r="D60" s="35">
        <f t="shared" si="3"/>
        <v>55</v>
      </c>
      <c r="E60" s="124">
        <f t="shared" si="1"/>
        <v>9</v>
      </c>
      <c r="F60" s="124">
        <f t="shared" si="2"/>
        <v>2</v>
      </c>
      <c r="G60" s="27" t="s">
        <v>1563</v>
      </c>
      <c r="H60" s="28" t="str">
        <f>CONCATENATE(SUMIF($E$6:$E60,$E60,$K$6:$K$370)," / ",SUMIF($E$6:$E$370,$E60,$K$6:$K$370))</f>
        <v>61 / 98</v>
      </c>
      <c r="I60" s="28" t="str">
        <f>CONCATENATE(SUMIF($F$6:$F60,$F60,$K$6:$K$370)," / ",SUMIF($F$6:$F$370,$F60,$K$6:$K$370))</f>
        <v>272 / 341</v>
      </c>
      <c r="J60" s="28" t="str">
        <f>CONCATENATE(SUM($K$6:$K60)," / ",SUM($K$6:$K$370))</f>
        <v>498,7 / 651,895</v>
      </c>
      <c r="K60" s="244">
        <v>13</v>
      </c>
      <c r="L60" s="28" t="s">
        <v>620</v>
      </c>
      <c r="M60" s="28" t="str">
        <f>CONCATENATE(SUMIF($E$6:$E60,$E60,$P$6:$P$370)," / ",SUMIF($E$6:$E$370,$E60,$P$6:$P$370))</f>
        <v>101 / 191</v>
      </c>
      <c r="N60" s="28" t="str">
        <f ca="1">CONCATENATE(SUMIF($F$6:$F60,$F60,$P60)," / ",SUMIF($F$6:$F$370,$F60,$P$6:$P$370))</f>
        <v>0 / 447</v>
      </c>
      <c r="O60" s="28" t="str">
        <f>CONCATENATE(SUM($P$6:$P60)," / ",SUM($P$6:$P424))</f>
        <v>438 / 528</v>
      </c>
      <c r="P60" s="244">
        <v>36</v>
      </c>
      <c r="Q60" s="28" t="s">
        <v>488</v>
      </c>
      <c r="R60" s="245">
        <v>0</v>
      </c>
      <c r="S60" s="28" t="str">
        <f>CONCATENATE(SUMIF($E$6:$E60,E60,$R$6:$R$370)," / ",SUMIF($E$6:$E$370,E60,$R$6:$R$370))</f>
        <v>0 / 0</v>
      </c>
      <c r="T60" s="28" t="str">
        <f>CONCATENATE(SUMIF($F$6:$F60,$F60,$R$6:$R$370)," / ",SUMIF($F$6:$F$370,$F60,$R$6:$R$370))</f>
        <v>0 / 0</v>
      </c>
      <c r="U60" s="28" t="str">
        <f>CONCATENATE(SUM($R$6:$R60)," / ",SUM($R$6:$R$370))</f>
        <v>0 / 0</v>
      </c>
    </row>
    <row r="61" spans="2:21" ht="13" thickBot="1">
      <c r="B61" s="399">
        <v>42425</v>
      </c>
      <c r="C61" s="35" t="str">
        <f t="shared" si="0"/>
        <v>Jeudi</v>
      </c>
      <c r="D61" s="35">
        <f t="shared" si="3"/>
        <v>56</v>
      </c>
      <c r="E61" s="124">
        <f t="shared" si="1"/>
        <v>9</v>
      </c>
      <c r="F61" s="124">
        <f t="shared" si="2"/>
        <v>2</v>
      </c>
      <c r="G61" s="27" t="s">
        <v>1565</v>
      </c>
      <c r="H61" s="28" t="str">
        <f>CONCATENATE(SUMIF($E$6:$E61,$E61,$K$6:$K$370)," / ",SUMIF($E$6:$E$370,$E61,$K$6:$K$370))</f>
        <v>73 / 98</v>
      </c>
      <c r="I61" s="28" t="str">
        <f>CONCATENATE(SUMIF($F$6:$F61,$F61,$K$6:$K$370)," / ",SUMIF($F$6:$F$370,$F61,$K$6:$K$370))</f>
        <v>284 / 341</v>
      </c>
      <c r="J61" s="28" t="str">
        <f>CONCATENATE(SUM($K$6:$K61)," / ",SUM($K$6:$K$370))</f>
        <v>510,7 / 651,895</v>
      </c>
      <c r="K61" s="244">
        <v>12</v>
      </c>
      <c r="L61" s="28" t="s">
        <v>575</v>
      </c>
      <c r="M61" s="28" t="str">
        <f>CONCATENATE(SUMIF($E$6:$E61,$E61,$P$6:$P$370)," / ",SUMIF($E$6:$E$370,$E61,$P$6:$P$370))</f>
        <v>101 / 191</v>
      </c>
      <c r="N61" s="28" t="str">
        <f ca="1">CONCATENATE(SUMIF($F$6:$F61,$F61,$P61)," / ",SUMIF($F$6:$F$370,$F61,$P$6:$P$370))</f>
        <v>0 / 447</v>
      </c>
      <c r="O61" s="28" t="str">
        <f>CONCATENATE(SUM($P$6:$P61)," / ",SUM($P$6:$P425))</f>
        <v>438 / 528</v>
      </c>
      <c r="P61" s="244">
        <v>0</v>
      </c>
      <c r="Q61" s="28"/>
      <c r="R61" s="245">
        <v>0</v>
      </c>
      <c r="S61" s="28" t="str">
        <f>CONCATENATE(SUMIF($E$6:$E61,E61,$R$6:$R$370)," / ",SUMIF($E$6:$E$370,E61,$R$6:$R$370))</f>
        <v>0 / 0</v>
      </c>
      <c r="T61" s="28" t="str">
        <f>CONCATENATE(SUMIF($F$6:$F61,$F61,$R$6:$R$370)," / ",SUMIF($F$6:$F$370,$F61,$R$6:$R$370))</f>
        <v>0 / 0</v>
      </c>
      <c r="U61" s="28" t="str">
        <f>CONCATENATE(SUM($R$6:$R61)," / ",SUM($R$6:$R$370))</f>
        <v>0 / 0</v>
      </c>
    </row>
    <row r="62" spans="2:21" ht="13" thickBot="1">
      <c r="B62" s="399">
        <v>42426</v>
      </c>
      <c r="C62" s="35" t="str">
        <f t="shared" si="0"/>
        <v>Vendredi</v>
      </c>
      <c r="D62" s="35">
        <f t="shared" si="3"/>
        <v>57</v>
      </c>
      <c r="E62" s="124">
        <f t="shared" si="1"/>
        <v>9</v>
      </c>
      <c r="F62" s="124">
        <f t="shared" si="2"/>
        <v>2</v>
      </c>
      <c r="G62" s="27" t="s">
        <v>1564</v>
      </c>
      <c r="H62" s="28" t="str">
        <f>CONCATENATE(SUMIF($E$6:$E62,$E62,$K$6:$K$370)," / ",SUMIF($E$6:$E$370,$E62,$K$6:$K$370))</f>
        <v>88 / 98</v>
      </c>
      <c r="I62" s="28" t="str">
        <f>CONCATENATE(SUMIF($F$6:$F62,$F62,$K$6:$K$370)," / ",SUMIF($F$6:$F$370,$F62,$K$6:$K$370))</f>
        <v>299 / 341</v>
      </c>
      <c r="J62" s="28" t="str">
        <f>CONCATENATE(SUM($K$6:$K62)," / ",SUM($K$6:$K$370))</f>
        <v>525,7 / 651,895</v>
      </c>
      <c r="K62" s="244">
        <v>15</v>
      </c>
      <c r="L62" s="28" t="s">
        <v>575</v>
      </c>
      <c r="M62" s="28" t="str">
        <f>CONCATENATE(SUMIF($E$6:$E62,$E62,$P$6:$P$370)," / ",SUMIF($E$6:$E$370,$E62,$P$6:$P$370))</f>
        <v>136 / 191</v>
      </c>
      <c r="N62" s="28" t="str">
        <f ca="1">CONCATENATE(SUMIF($F$6:$F62,$F62,$P62)," / ",SUMIF($F$6:$F$370,$F62,$P$6:$P$370))</f>
        <v>0 / 447</v>
      </c>
      <c r="O62" s="28" t="str">
        <f>CONCATENATE(SUM($P$6:$P62)," / ",SUM($P$6:$P426))</f>
        <v>473 / 528</v>
      </c>
      <c r="P62" s="244">
        <v>35</v>
      </c>
      <c r="Q62" s="28" t="s">
        <v>488</v>
      </c>
      <c r="R62" s="245">
        <v>0</v>
      </c>
      <c r="S62" s="28" t="str">
        <f>CONCATENATE(SUMIF($E$6:$E62,E62,$R$6:$R$370)," / ",SUMIF($E$6:$E$370,E62,$R$6:$R$370))</f>
        <v>0 / 0</v>
      </c>
      <c r="T62" s="28" t="str">
        <f>CONCATENATE(SUMIF($F$6:$F62,$F62,$R$6:$R$370)," / ",SUMIF($F$6:$F$370,$F62,$R$6:$R$370))</f>
        <v>0 / 0</v>
      </c>
      <c r="U62" s="28" t="str">
        <f>CONCATENATE(SUM($R$6:$R62)," / ",SUM($R$6:$R$370))</f>
        <v>0 / 0</v>
      </c>
    </row>
    <row r="63" spans="2:21" ht="13" thickBot="1">
      <c r="B63" s="399">
        <v>42427</v>
      </c>
      <c r="C63" s="35" t="str">
        <f t="shared" si="0"/>
        <v>Samedi</v>
      </c>
      <c r="D63" s="35">
        <f t="shared" si="3"/>
        <v>58</v>
      </c>
      <c r="E63" s="124">
        <f t="shared" si="1"/>
        <v>9</v>
      </c>
      <c r="F63" s="124">
        <f t="shared" si="2"/>
        <v>2</v>
      </c>
      <c r="G63" s="27" t="s">
        <v>1566</v>
      </c>
      <c r="H63" s="28" t="str">
        <f>CONCATENATE(SUMIF($E$6:$E63,$E63,$K$6:$K$370)," / ",SUMIF($E$6:$E$370,$E63,$K$6:$K$370))</f>
        <v>98 / 98</v>
      </c>
      <c r="I63" s="28" t="str">
        <f>CONCATENATE(SUMIF($F$6:$F63,$F63,$K$6:$K$370)," / ",SUMIF($F$6:$F$370,$F63,$K$6:$K$370))</f>
        <v>309 / 341</v>
      </c>
      <c r="J63" s="28" t="str">
        <f>CONCATENATE(SUM($K$6:$K63)," / ",SUM($K$6:$K$370))</f>
        <v>535,7 / 651,895</v>
      </c>
      <c r="K63" s="244">
        <v>10</v>
      </c>
      <c r="L63" s="28" t="s">
        <v>620</v>
      </c>
      <c r="M63" s="28" t="str">
        <f>CONCATENATE(SUMIF($E$6:$E63,$E63,$P$6:$P$370)," / ",SUMIF($E$6:$E$370,$E63,$P$6:$P$370))</f>
        <v>191 / 191</v>
      </c>
      <c r="N63" s="28" t="str">
        <f ca="1">CONCATENATE(SUMIF($F$6:$F63,$F63,$P63)," / ",SUMIF($F$6:$F$370,$F63,$P$6:$P$370))</f>
        <v>0 / 447</v>
      </c>
      <c r="O63" s="28" t="str">
        <f>CONCATENATE(SUM($P$6:$P63)," / ",SUM($P$6:$P427))</f>
        <v>528 / 528</v>
      </c>
      <c r="P63" s="244">
        <v>55</v>
      </c>
      <c r="Q63" s="28" t="s">
        <v>488</v>
      </c>
      <c r="R63" s="245">
        <v>0</v>
      </c>
      <c r="S63" s="28" t="str">
        <f>CONCATENATE(SUMIF($E$6:$E63,E63,$R$6:$R$370)," / ",SUMIF($E$6:$E$370,E63,$R$6:$R$370))</f>
        <v>0 / 0</v>
      </c>
      <c r="T63" s="28" t="str">
        <f>CONCATENATE(SUMIF($F$6:$F63,$F63,$R$6:$R$370)," / ",SUMIF($F$6:$F$370,$F63,$R$6:$R$370))</f>
        <v>0 / 0</v>
      </c>
      <c r="U63" s="28" t="str">
        <f>CONCATENATE(SUM($R$6:$R63)," / ",SUM($R$6:$R$370))</f>
        <v>0 / 0</v>
      </c>
    </row>
    <row r="64" spans="2:21" ht="13" thickBot="1">
      <c r="B64" s="399">
        <v>42428</v>
      </c>
      <c r="C64" s="35" t="str">
        <f t="shared" si="0"/>
        <v>Dimanche</v>
      </c>
      <c r="D64" s="35">
        <f t="shared" si="3"/>
        <v>59</v>
      </c>
      <c r="E64" s="124">
        <f t="shared" si="1"/>
        <v>10</v>
      </c>
      <c r="F64" s="124">
        <f t="shared" si="2"/>
        <v>2</v>
      </c>
      <c r="G64" s="27" t="s">
        <v>1568</v>
      </c>
      <c r="H64" s="28" t="str">
        <f>CONCATENATE(SUMIF($E$6:$E64,$E64,$K$6:$K$370)," / ",SUMIF($E$6:$E$370,$E64,$K$6:$K$370))</f>
        <v>11 / 74</v>
      </c>
      <c r="I64" s="28" t="str">
        <f>CONCATENATE(SUMIF($F$6:$F64,$F64,$K$6:$K$370)," / ",SUMIF($F$6:$F$370,$F64,$K$6:$K$370))</f>
        <v>320 / 341</v>
      </c>
      <c r="J64" s="28" t="str">
        <f>CONCATENATE(SUM($K$6:$K64)," / ",SUM($K$6:$K$370))</f>
        <v>546,7 / 651,895</v>
      </c>
      <c r="K64" s="244">
        <v>11</v>
      </c>
      <c r="L64" s="28" t="s">
        <v>575</v>
      </c>
      <c r="M64" s="28" t="str">
        <f>CONCATENATE(SUMIF($E$6:$E64,$E64,$P$6:$P$370)," / ",SUMIF($E$6:$E$370,$E64,$P$6:$P$370))</f>
        <v>0 / 0</v>
      </c>
      <c r="N64" s="28" t="str">
        <f ca="1">CONCATENATE(SUMIF($F$6:$F64,$F64,$P64)," / ",SUMIF($F$6:$F$370,$F64,$P$6:$P$370))</f>
        <v>0 / 447</v>
      </c>
      <c r="O64" s="28" t="str">
        <f>CONCATENATE(SUM($P$6:$P64)," / ",SUM($P$6:$P428))</f>
        <v>528 / 528</v>
      </c>
      <c r="P64" s="244">
        <v>0</v>
      </c>
      <c r="Q64" s="28"/>
      <c r="R64" s="245">
        <v>0</v>
      </c>
      <c r="S64" s="28" t="str">
        <f>CONCATENATE(SUMIF($E$6:$E64,E64,$R$6:$R$370)," / ",SUMIF($E$6:$E$370,E64,$R$6:$R$370))</f>
        <v>0 / 0</v>
      </c>
      <c r="T64" s="28" t="str">
        <f>CONCATENATE(SUMIF($F$6:$F64,$F64,$R$6:$R$370)," / ",SUMIF($F$6:$F$370,$F64,$R$6:$R$370))</f>
        <v>0 / 0</v>
      </c>
      <c r="U64" s="28" t="str">
        <f>CONCATENATE(SUM($R$6:$R64)," / ",SUM($R$6:$R$370))</f>
        <v>0 / 0</v>
      </c>
    </row>
    <row r="65" spans="2:21" ht="13" thickBot="1">
      <c r="B65" s="399">
        <v>42429</v>
      </c>
      <c r="C65" s="35" t="str">
        <f t="shared" si="0"/>
        <v>Lundi</v>
      </c>
      <c r="D65" s="35">
        <f t="shared" si="3"/>
        <v>60</v>
      </c>
      <c r="E65" s="124">
        <f t="shared" si="1"/>
        <v>10</v>
      </c>
      <c r="F65" s="124">
        <f t="shared" si="2"/>
        <v>2</v>
      </c>
      <c r="G65" s="27" t="s">
        <v>1567</v>
      </c>
      <c r="H65" s="28" t="str">
        <f>CONCATENATE(SUMIF($E$6:$E65,$E65,$K$6:$K$370)," / ",SUMIF($E$6:$E$370,$E65,$K$6:$K$370))</f>
        <v>32 / 74</v>
      </c>
      <c r="I65" s="28" t="str">
        <f>CONCATENATE(SUMIF($F$6:$F65,$F65,$K$6:$K$370)," / ",SUMIF($F$6:$F$370,$F65,$K$6:$K$370))</f>
        <v>341 / 341</v>
      </c>
      <c r="J65" s="28" t="str">
        <f>CONCATENATE(SUM($K$6:$K65)," / ",SUM($K$6:$K$370))</f>
        <v>567,7 / 651,895</v>
      </c>
      <c r="K65" s="244">
        <v>21</v>
      </c>
      <c r="L65" s="28" t="s">
        <v>620</v>
      </c>
      <c r="M65" s="28" t="str">
        <f>CONCATENATE(SUMIF($E$6:$E65,$E65,$P$6:$P$370)," / ",SUMIF($E$6:$E$370,$E65,$P$6:$P$370))</f>
        <v>0 / 0</v>
      </c>
      <c r="N65" s="28" t="str">
        <f ca="1">CONCATENATE(SUMIF($F$6:$F65,$F65,$P65)," / ",SUMIF($F$6:$F$370,$F65,$P$6:$P$370))</f>
        <v>0 / 447</v>
      </c>
      <c r="O65" s="28" t="str">
        <f>CONCATENATE(SUM($P$6:$P65)," / ",SUM($P$6:$P429))</f>
        <v>528 / 528</v>
      </c>
      <c r="P65" s="244">
        <v>0</v>
      </c>
      <c r="Q65" s="28"/>
      <c r="R65" s="245">
        <v>0</v>
      </c>
      <c r="S65" s="28" t="str">
        <f>CONCATENATE(SUMIF($E$6:$E65,E65,$R$6:$R$370)," / ",SUMIF($E$6:$E$370,E65,$R$6:$R$370))</f>
        <v>0 / 0</v>
      </c>
      <c r="T65" s="28" t="str">
        <f>CONCATENATE(SUMIF($F$6:$F65,$F65,$R$6:$R$370)," / ",SUMIF($F$6:$F$370,$F65,$R$6:$R$370))</f>
        <v>0 / 0</v>
      </c>
      <c r="U65" s="28" t="str">
        <f>CONCATENATE(SUM($R$6:$R65)," / ",SUM($R$6:$R$370))</f>
        <v>0 / 0</v>
      </c>
    </row>
    <row r="66" spans="2:21" ht="13" thickBot="1">
      <c r="B66" s="399">
        <v>42430</v>
      </c>
      <c r="C66" s="35" t="str">
        <f t="shared" si="0"/>
        <v>Mardi</v>
      </c>
      <c r="D66" s="35">
        <f t="shared" si="3"/>
        <v>61</v>
      </c>
      <c r="E66" s="124">
        <f t="shared" si="1"/>
        <v>10</v>
      </c>
      <c r="F66" s="124">
        <f t="shared" si="2"/>
        <v>3</v>
      </c>
      <c r="G66" s="27" t="s">
        <v>1569</v>
      </c>
      <c r="H66" s="28" t="str">
        <f>CONCATENATE(SUMIF($E$6:$E66,$E66,$K$6:$K$370)," / ",SUMIF($E$6:$E$370,$E66,$K$6:$K$370))</f>
        <v>44 / 74</v>
      </c>
      <c r="I66" s="28" t="str">
        <f>CONCATENATE(SUMIF($F$6:$F66,$F66,$K$6:$K$370)," / ",SUMIF($F$6:$F$370,$F66,$K$6:$K$370))</f>
        <v>12 / 84,195</v>
      </c>
      <c r="J66" s="28" t="str">
        <f>CONCATENATE(SUM($K$6:$K66)," / ",SUM($K$6:$K$370))</f>
        <v>579,7 / 651,895</v>
      </c>
      <c r="K66" s="244">
        <v>12</v>
      </c>
      <c r="L66" s="28" t="s">
        <v>575</v>
      </c>
      <c r="M66" s="28" t="str">
        <f>CONCATENATE(SUMIF($E$6:$E66,$E66,$P$6:$P$370)," / ",SUMIF($E$6:$E$370,$E66,$P$6:$P$370))</f>
        <v>0 / 0</v>
      </c>
      <c r="N66" s="28" t="str">
        <f ca="1">CONCATENATE(SUMIF($F$6:$F66,$F66,$P66)," / ",SUMIF($F$6:$F$370,$F66,$P$6:$P$370))</f>
        <v>0 / 0</v>
      </c>
      <c r="O66" s="28" t="str">
        <f>CONCATENATE(SUM($P$6:$P66)," / ",SUM($P$6:$P430))</f>
        <v>528 / 528</v>
      </c>
      <c r="P66" s="244">
        <v>0</v>
      </c>
      <c r="Q66" s="28"/>
      <c r="R66" s="245">
        <v>0</v>
      </c>
      <c r="S66" s="28" t="str">
        <f>CONCATENATE(SUMIF($E$6:$E66,E66,$R$6:$R$370)," / ",SUMIF($E$6:$E$370,E66,$R$6:$R$370))</f>
        <v>0 / 0</v>
      </c>
      <c r="T66" s="28" t="str">
        <f>CONCATENATE(SUMIF($F$6:$F66,$F66,$R$6:$R$370)," / ",SUMIF($F$6:$F$370,$F66,$R$6:$R$370))</f>
        <v>0 / 0</v>
      </c>
      <c r="U66" s="28" t="str">
        <f>CONCATENATE(SUM($R$6:$R66)," / ",SUM($R$6:$R$370))</f>
        <v>0 / 0</v>
      </c>
    </row>
    <row r="67" spans="2:21" ht="13" thickBot="1">
      <c r="B67" s="399">
        <v>42431</v>
      </c>
      <c r="C67" s="35" t="str">
        <f t="shared" si="0"/>
        <v>Mercredi</v>
      </c>
      <c r="D67" s="35">
        <f t="shared" si="3"/>
        <v>62</v>
      </c>
      <c r="E67" s="124">
        <f t="shared" si="1"/>
        <v>10</v>
      </c>
      <c r="F67" s="124">
        <f t="shared" si="2"/>
        <v>3</v>
      </c>
      <c r="G67" s="27" t="s">
        <v>1570</v>
      </c>
      <c r="H67" s="28" t="str">
        <f>CONCATENATE(SUMIF($E$6:$E67,$E67,$K$6:$K$370)," / ",SUMIF($E$6:$E$370,$E67,$K$6:$K$370))</f>
        <v>66 / 74</v>
      </c>
      <c r="I67" s="28" t="str">
        <f>CONCATENATE(SUMIF($F$6:$F67,$F67,$K$6:$K$370)," / ",SUMIF($F$6:$F$370,$F67,$K$6:$K$370))</f>
        <v>34 / 84,195</v>
      </c>
      <c r="J67" s="28" t="str">
        <f>CONCATENATE(SUM($K$6:$K67)," / ",SUM($K$6:$K$370))</f>
        <v>601,7 / 651,895</v>
      </c>
      <c r="K67" s="244">
        <v>22</v>
      </c>
      <c r="L67" s="28" t="s">
        <v>620</v>
      </c>
      <c r="M67" s="28" t="str">
        <f>CONCATENATE(SUMIF($E$6:$E67,$E67,$P$6:$P$370)," / ",SUMIF($E$6:$E$370,$E67,$P$6:$P$370))</f>
        <v>0 / 0</v>
      </c>
      <c r="N67" s="28" t="str">
        <f ca="1">CONCATENATE(SUMIF($F$6:$F67,$F67,$P67)," / ",SUMIF($F$6:$F$370,$F67,$P$6:$P$370))</f>
        <v>0 / 0</v>
      </c>
      <c r="O67" s="28" t="str">
        <f>CONCATENATE(SUM($P$6:$P67)," / ",SUM($P$6:$P431))</f>
        <v>528 / 528</v>
      </c>
      <c r="P67" s="244">
        <v>0</v>
      </c>
      <c r="Q67" s="28"/>
      <c r="R67" s="245">
        <v>0</v>
      </c>
      <c r="S67" s="28" t="str">
        <f>CONCATENATE(SUMIF($E$6:$E67,E67,$R$6:$R$370)," / ",SUMIF($E$6:$E$370,E67,$R$6:$R$370))</f>
        <v>0 / 0</v>
      </c>
      <c r="T67" s="28" t="str">
        <f>CONCATENATE(SUMIF($F$6:$F67,$F67,$R$6:$R$370)," / ",SUMIF($F$6:$F$370,$F67,$R$6:$R$370))</f>
        <v>0 / 0</v>
      </c>
      <c r="U67" s="28" t="str">
        <f>CONCATENATE(SUM($R$6:$R67)," / ",SUM($R$6:$R$370))</f>
        <v>0 / 0</v>
      </c>
    </row>
    <row r="68" spans="2:21" ht="13" thickBot="1">
      <c r="B68" s="399">
        <v>42432</v>
      </c>
      <c r="C68" s="35" t="str">
        <f t="shared" si="0"/>
        <v>Jeudi</v>
      </c>
      <c r="D68" s="35">
        <f t="shared" si="3"/>
        <v>63</v>
      </c>
      <c r="E68" s="124">
        <f t="shared" si="1"/>
        <v>10</v>
      </c>
      <c r="F68" s="124">
        <f t="shared" si="2"/>
        <v>3</v>
      </c>
      <c r="G68" s="27" t="s">
        <v>1571</v>
      </c>
      <c r="H68" s="28" t="str">
        <f>CONCATENATE(SUMIF($E$6:$E68,$E68,$K$6:$K$370)," / ",SUMIF($E$6:$E$370,$E68,$K$6:$K$370))</f>
        <v>74 / 74</v>
      </c>
      <c r="I68" s="28" t="str">
        <f>CONCATENATE(SUMIF($F$6:$F68,$F68,$K$6:$K$370)," / ",SUMIF($F$6:$F$370,$F68,$K$6:$K$370))</f>
        <v>42 / 84,195</v>
      </c>
      <c r="J68" s="28" t="str">
        <f>CONCATENATE(SUM($K$6:$K68)," / ",SUM($K$6:$K$370))</f>
        <v>609,7 / 651,895</v>
      </c>
      <c r="K68" s="244">
        <v>8</v>
      </c>
      <c r="L68" s="28" t="s">
        <v>575</v>
      </c>
      <c r="M68" s="28" t="str">
        <f>CONCATENATE(SUMIF($E$6:$E68,$E68,$P$6:$P$370)," / ",SUMIF($E$6:$E$370,$E68,$P$6:$P$370))</f>
        <v>0 / 0</v>
      </c>
      <c r="N68" s="28" t="str">
        <f ca="1">CONCATENATE(SUMIF($F$6:$F68,$F68,$P68)," / ",SUMIF($F$6:$F$370,$F68,$P$6:$P$370))</f>
        <v>0 / 0</v>
      </c>
      <c r="O68" s="28" t="str">
        <f>CONCATENATE(SUM($P$6:$P68)," / ",SUM($P$6:$P432))</f>
        <v>528 / 528</v>
      </c>
      <c r="P68" s="244">
        <v>0</v>
      </c>
      <c r="Q68" s="28"/>
      <c r="R68" s="245">
        <v>0</v>
      </c>
      <c r="S68" s="28" t="str">
        <f>CONCATENATE(SUMIF($E$6:$E68,E68,$R$6:$R$370)," / ",SUMIF($E$6:$E$370,E68,$R$6:$R$370))</f>
        <v>0 / 0</v>
      </c>
      <c r="T68" s="28" t="str">
        <f>CONCATENATE(SUMIF($F$6:$F68,$F68,$R$6:$R$370)," / ",SUMIF($F$6:$F$370,$F68,$R$6:$R$370))</f>
        <v>0 / 0</v>
      </c>
      <c r="U68" s="28" t="str">
        <f>CONCATENATE(SUM($R$6:$R68)," / ",SUM($R$6:$R$370))</f>
        <v>0 / 0</v>
      </c>
    </row>
    <row r="69" spans="2:21" ht="13" thickBot="1">
      <c r="B69" s="399">
        <v>42433</v>
      </c>
      <c r="C69" s="35" t="str">
        <f t="shared" si="0"/>
        <v>Vendredi</v>
      </c>
      <c r="D69" s="35">
        <f t="shared" si="3"/>
        <v>64</v>
      </c>
      <c r="E69" s="124">
        <f t="shared" si="1"/>
        <v>10</v>
      </c>
      <c r="F69" s="124">
        <f t="shared" si="2"/>
        <v>3</v>
      </c>
      <c r="G69" s="27"/>
      <c r="H69" s="28" t="str">
        <f>CONCATENATE(SUMIF($E$6:$E69,$E69,$K$6:$K$370)," / ",SUMIF($E$6:$E$370,$E69,$K$6:$K$370))</f>
        <v>74 / 74</v>
      </c>
      <c r="I69" s="28" t="str">
        <f>CONCATENATE(SUMIF($F$6:$F69,$F69,$K$6:$K$370)," / ",SUMIF($F$6:$F$370,$F69,$K$6:$K$370))</f>
        <v>42 / 84,195</v>
      </c>
      <c r="J69" s="28" t="str">
        <f>CONCATENATE(SUM($K$6:$K69)," / ",SUM($K$6:$K$370))</f>
        <v>609,7 / 651,895</v>
      </c>
      <c r="K69" s="244">
        <v>0</v>
      </c>
      <c r="L69" s="28"/>
      <c r="M69" s="28" t="str">
        <f>CONCATENATE(SUMIF($E$6:$E69,$E69,$P$6:$P$370)," / ",SUMIF($E$6:$E$370,$E69,$P$6:$P$370))</f>
        <v>0 / 0</v>
      </c>
      <c r="N69" s="28" t="str">
        <f ca="1">CONCATENATE(SUMIF($F$6:$F69,$F69,$P69)," / ",SUMIF($F$6:$F$370,$F69,$P$6:$P$370))</f>
        <v>0 / 0</v>
      </c>
      <c r="O69" s="28" t="str">
        <f>CONCATENATE(SUM($P$6:$P69)," / ",SUM($P$6:$P433))</f>
        <v>528 / 528</v>
      </c>
      <c r="P69" s="244">
        <v>0</v>
      </c>
      <c r="Q69" s="28"/>
      <c r="R69" s="245">
        <v>0</v>
      </c>
      <c r="S69" s="28" t="str">
        <f>CONCATENATE(SUMIF($E$6:$E69,E69,$R$6:$R$370)," / ",SUMIF($E$6:$E$370,E69,$R$6:$R$370))</f>
        <v>0 / 0</v>
      </c>
      <c r="T69" s="28" t="str">
        <f>CONCATENATE(SUMIF($F$6:$F69,$F69,$R$6:$R$370)," / ",SUMIF($F$6:$F$370,$F69,$R$6:$R$370))</f>
        <v>0 / 0</v>
      </c>
      <c r="U69" s="28" t="str">
        <f>CONCATENATE(SUM($R$6:$R69)," / ",SUM($R$6:$R$370))</f>
        <v>0 / 0</v>
      </c>
    </row>
    <row r="70" spans="2:21" ht="13" thickBot="1">
      <c r="B70" s="399">
        <v>42434</v>
      </c>
      <c r="C70" s="35" t="str">
        <f t="shared" si="0"/>
        <v>Samedi</v>
      </c>
      <c r="D70" s="35">
        <f t="shared" si="3"/>
        <v>65</v>
      </c>
      <c r="E70" s="124">
        <f t="shared" si="1"/>
        <v>10</v>
      </c>
      <c r="F70" s="124">
        <f t="shared" si="2"/>
        <v>3</v>
      </c>
      <c r="G70" s="27"/>
      <c r="H70" s="28" t="str">
        <f>CONCATENATE(SUMIF($E$6:$E70,$E70,$K$6:$K$370)," / ",SUMIF($E$6:$E$370,$E70,$K$6:$K$370))</f>
        <v>74 / 74</v>
      </c>
      <c r="I70" s="28" t="str">
        <f>CONCATENATE(SUMIF($F$6:$F70,$F70,$K$6:$K$370)," / ",SUMIF($F$6:$F$370,$F70,$K$6:$K$370))</f>
        <v>42 / 84,195</v>
      </c>
      <c r="J70" s="28" t="str">
        <f>CONCATENATE(SUM($K$6:$K70)," / ",SUM($K$6:$K$370))</f>
        <v>609,7 / 651,895</v>
      </c>
      <c r="K70" s="244">
        <v>0</v>
      </c>
      <c r="L70" s="28"/>
      <c r="M70" s="28" t="str">
        <f>CONCATENATE(SUMIF($E$6:$E70,$E70,$P$6:$P$370)," / ",SUMIF($E$6:$E$370,$E70,$P$6:$P$370))</f>
        <v>0 / 0</v>
      </c>
      <c r="N70" s="28" t="str">
        <f ca="1">CONCATENATE(SUMIF($F$6:$F70,$F70,$P70)," / ",SUMIF($F$6:$F$370,$F70,$P$6:$P$370))</f>
        <v>0 / 0</v>
      </c>
      <c r="O70" s="28" t="str">
        <f>CONCATENATE(SUM($P$6:$P70)," / ",SUM($P$6:$P434))</f>
        <v>528 / 528</v>
      </c>
      <c r="P70" s="244">
        <v>0</v>
      </c>
      <c r="Q70" s="28"/>
      <c r="R70" s="245">
        <v>0</v>
      </c>
      <c r="S70" s="28" t="str">
        <f>CONCATENATE(SUMIF($E$6:$E70,E70,$R$6:$R$370)," / ",SUMIF($E$6:$E$370,E70,$R$6:$R$370))</f>
        <v>0 / 0</v>
      </c>
      <c r="T70" s="28" t="str">
        <f>CONCATENATE(SUMIF($F$6:$F70,$F70,$R$6:$R$370)," / ",SUMIF($F$6:$F$370,$F70,$R$6:$R$370))</f>
        <v>0 / 0</v>
      </c>
      <c r="U70" s="28" t="str">
        <f>CONCATENATE(SUM($R$6:$R70)," / ",SUM($R$6:$R$370))</f>
        <v>0 / 0</v>
      </c>
    </row>
    <row r="71" spans="2:21" ht="13" thickBot="1">
      <c r="B71" s="399">
        <v>42435</v>
      </c>
      <c r="C71" s="35" t="str">
        <f t="shared" ref="C71:C134" si="5">IF(EXACT(WEEKDAY(B71),1),"Dimanche",IF(EXACT(WEEKDAY(B71),2),"Lundi",IF(EXACT(WEEKDAY(B71),3),"Mardi",IF(EXACT(WEEKDAY(B71),4),"Mercredi",IF(EXACT(WEEKDAY(B71),5),"Jeudi",IF(EXACT(WEEKDAY(B71),6),"Vendredi",IF(EXACT(WEEKDAY(B71),7),"Samedi","Erreur de date")))))))</f>
        <v>Dimanche</v>
      </c>
      <c r="D71" s="35">
        <f t="shared" si="3"/>
        <v>66</v>
      </c>
      <c r="E71" s="124">
        <f t="shared" ref="E71:E134" si="6">WEEKNUM($B71)</f>
        <v>11</v>
      </c>
      <c r="F71" s="124">
        <f t="shared" ref="F71:F134" si="7">MONTH(B71)</f>
        <v>3</v>
      </c>
      <c r="G71" s="27"/>
      <c r="H71" s="28" t="str">
        <f>CONCATENATE(SUMIF($E$6:$E71,$E71,$K$6:$K$370)," / ",SUMIF($E$6:$E$370,$E71,$K$6:$K$370))</f>
        <v>0 / 0</v>
      </c>
      <c r="I71" s="28" t="str">
        <f>CONCATENATE(SUMIF($F$6:$F71,$F71,$K$6:$K$370)," / ",SUMIF($F$6:$F$370,$F71,$K$6:$K$370))</f>
        <v>42 / 84,195</v>
      </c>
      <c r="J71" s="28" t="str">
        <f>CONCATENATE(SUM($K$6:$K71)," / ",SUM($K$6:$K$370))</f>
        <v>609,7 / 651,895</v>
      </c>
      <c r="K71" s="244"/>
      <c r="L71" s="28"/>
      <c r="M71" s="28" t="str">
        <f>CONCATENATE(SUMIF($E$6:$E71,$E71,$P$6:$P$370)," / ",SUMIF($E$6:$E$370,$E71,$P$6:$P$370))</f>
        <v>0 / 0</v>
      </c>
      <c r="N71" s="28" t="str">
        <f ca="1">CONCATENATE(SUMIF($F$6:$F71,$F71,$P71)," / ",SUMIF($F$6:$F$370,$F71,$P$6:$P$370))</f>
        <v>0 / 0</v>
      </c>
      <c r="O71" s="28" t="str">
        <f>CONCATENATE(SUM($P$6:$P71)," / ",SUM($P$6:$P435))</f>
        <v>528 / 528</v>
      </c>
      <c r="P71" s="244">
        <v>0</v>
      </c>
      <c r="Q71" s="28"/>
      <c r="R71" s="245">
        <v>0</v>
      </c>
      <c r="S71" s="28" t="str">
        <f>CONCATENATE(SUMIF($E$6:$E71,E71,$R$6:$R$370)," / ",SUMIF($E$6:$E$370,E71,$R$6:$R$370))</f>
        <v>0 / 0</v>
      </c>
      <c r="T71" s="28" t="str">
        <f>CONCATENATE(SUMIF($F$6:$F71,$F71,$R$6:$R$370)," / ",SUMIF($F$6:$F$370,$F71,$R$6:$R$370))</f>
        <v>0 / 0</v>
      </c>
      <c r="U71" s="28" t="str">
        <f>CONCATENATE(SUM($R$6:$R71)," / ",SUM($R$6:$R$370))</f>
        <v>0 / 0</v>
      </c>
    </row>
    <row r="72" spans="2:21" ht="13" thickBot="1">
      <c r="B72" s="399">
        <v>42436</v>
      </c>
      <c r="C72" s="35" t="str">
        <f t="shared" si="5"/>
        <v>Lundi</v>
      </c>
      <c r="D72" s="35">
        <f t="shared" ref="D72:D135" si="8">D71+1</f>
        <v>67</v>
      </c>
      <c r="E72" s="124">
        <f t="shared" si="6"/>
        <v>11</v>
      </c>
      <c r="F72" s="124">
        <f t="shared" si="7"/>
        <v>3</v>
      </c>
      <c r="G72" s="27"/>
      <c r="H72" s="28" t="str">
        <f>CONCATENATE(SUMIF($E$6:$E72,$E72,$K$6:$K$370)," / ",SUMIF($E$6:$E$370,$E72,$K$6:$K$370))</f>
        <v>0 / 0</v>
      </c>
      <c r="I72" s="28" t="str">
        <f>CONCATENATE(SUMIF($F$6:$F72,$F72,$K$6:$K$370)," / ",SUMIF($F$6:$F$370,$F72,$K$6:$K$370))</f>
        <v>42 / 84,195</v>
      </c>
      <c r="J72" s="28" t="str">
        <f>CONCATENATE(SUM($K$6:$K72)," / ",SUM($K$6:$K$370))</f>
        <v>609,7 / 651,895</v>
      </c>
      <c r="K72" s="244">
        <v>0</v>
      </c>
      <c r="L72" s="28"/>
      <c r="M72" s="28" t="str">
        <f>CONCATENATE(SUMIF($E$6:$E72,$E72,$P$6:$P$370)," / ",SUMIF($E$6:$E$370,$E72,$P$6:$P$370))</f>
        <v>0 / 0</v>
      </c>
      <c r="N72" s="28" t="str">
        <f ca="1">CONCATENATE(SUMIF($F$6:$F72,$F72,$P72)," / ",SUMIF($F$6:$F$370,$F72,$P$6:$P$370))</f>
        <v>0 / 0</v>
      </c>
      <c r="O72" s="28" t="str">
        <f>CONCATENATE(SUM($P$6:$P72)," / ",SUM($P$6:$P436))</f>
        <v>528 / 528</v>
      </c>
      <c r="P72" s="244">
        <v>0</v>
      </c>
      <c r="Q72" s="28"/>
      <c r="R72" s="245">
        <v>0</v>
      </c>
      <c r="S72" s="28" t="str">
        <f>CONCATENATE(SUMIF($E$6:$E72,E72,$R$6:$R$370)," / ",SUMIF($E$6:$E$370,E72,$R$6:$R$370))</f>
        <v>0 / 0</v>
      </c>
      <c r="T72" s="28" t="str">
        <f>CONCATENATE(SUMIF($F$6:$F72,$F72,$R$6:$R$370)," / ",SUMIF($F$6:$F$370,$F72,$R$6:$R$370))</f>
        <v>0 / 0</v>
      </c>
      <c r="U72" s="28" t="str">
        <f>CONCATENATE(SUM($R$6:$R72)," / ",SUM($R$6:$R$370))</f>
        <v>0 / 0</v>
      </c>
    </row>
    <row r="73" spans="2:21" ht="13" thickBot="1">
      <c r="B73" s="399">
        <v>42437</v>
      </c>
      <c r="C73" s="35" t="str">
        <f t="shared" si="5"/>
        <v>Mardi</v>
      </c>
      <c r="D73" s="35">
        <f t="shared" si="8"/>
        <v>68</v>
      </c>
      <c r="E73" s="124">
        <f t="shared" si="6"/>
        <v>11</v>
      </c>
      <c r="F73" s="124">
        <f t="shared" si="7"/>
        <v>3</v>
      </c>
      <c r="G73" s="27"/>
      <c r="H73" s="28" t="str">
        <f>CONCATENATE(SUMIF($E$6:$E73,$E73,$K$6:$K$370)," / ",SUMIF($E$6:$E$370,$E73,$K$6:$K$370))</f>
        <v>0 / 0</v>
      </c>
      <c r="I73" s="28" t="str">
        <f>CONCATENATE(SUMIF($F$6:$F73,$F73,$K$6:$K$370)," / ",SUMIF($F$6:$F$370,$F73,$K$6:$K$370))</f>
        <v>42 / 84,195</v>
      </c>
      <c r="J73" s="28" t="str">
        <f>CONCATENATE(SUM($K$6:$K73)," / ",SUM($K$6:$K$370))</f>
        <v>609,7 / 651,895</v>
      </c>
      <c r="K73" s="244">
        <v>0</v>
      </c>
      <c r="L73" s="28"/>
      <c r="M73" s="28" t="str">
        <f>CONCATENATE(SUMIF($E$6:$E73,$E73,$P$6:$P$370)," / ",SUMIF($E$6:$E$370,$E73,$P$6:$P$370))</f>
        <v>0 / 0</v>
      </c>
      <c r="N73" s="28" t="str">
        <f ca="1">CONCATENATE(SUMIF($F$6:$F73,$F73,$P73)," / ",SUMIF($F$6:$F$370,$F73,$P$6:$P$370))</f>
        <v>0 / 0</v>
      </c>
      <c r="O73" s="28" t="str">
        <f>CONCATENATE(SUM($P$6:$P73)," / ",SUM($P$6:$P437))</f>
        <v>528 / 528</v>
      </c>
      <c r="P73" s="244">
        <v>0</v>
      </c>
      <c r="Q73" s="28"/>
      <c r="R73" s="245">
        <v>0</v>
      </c>
      <c r="S73" s="28" t="str">
        <f>CONCATENATE(SUMIF($E$6:$E73,E73,$R$6:$R$370)," / ",SUMIF($E$6:$E$370,E73,$R$6:$R$370))</f>
        <v>0 / 0</v>
      </c>
      <c r="T73" s="28" t="str">
        <f>CONCATENATE(SUMIF($F$6:$F73,$F73,$R$6:$R$370)," / ",SUMIF($F$6:$F$370,$F73,$R$6:$R$370))</f>
        <v>0 / 0</v>
      </c>
      <c r="U73" s="28" t="str">
        <f>CONCATENATE(SUM($R$6:$R73)," / ",SUM($R$6:$R$370))</f>
        <v>0 / 0</v>
      </c>
    </row>
    <row r="74" spans="2:21" ht="13" thickBot="1">
      <c r="B74" s="399">
        <v>42438</v>
      </c>
      <c r="C74" s="35" t="str">
        <f t="shared" si="5"/>
        <v>Mercredi</v>
      </c>
      <c r="D74" s="35">
        <f t="shared" si="8"/>
        <v>69</v>
      </c>
      <c r="E74" s="124">
        <f t="shared" si="6"/>
        <v>11</v>
      </c>
      <c r="F74" s="124">
        <f t="shared" si="7"/>
        <v>3</v>
      </c>
      <c r="G74" s="27"/>
      <c r="H74" s="28" t="str">
        <f>CONCATENATE(SUMIF($E$6:$E74,$E74,$K$6:$K$370)," / ",SUMIF($E$6:$E$370,$E74,$K$6:$K$370))</f>
        <v>0 / 0</v>
      </c>
      <c r="I74" s="28" t="str">
        <f>CONCATENATE(SUMIF($F$6:$F74,$F74,$K$6:$K$370)," / ",SUMIF($F$6:$F$370,$F74,$K$6:$K$370))</f>
        <v>42 / 84,195</v>
      </c>
      <c r="J74" s="28" t="str">
        <f>CONCATENATE(SUM($K$6:$K74)," / ",SUM($K$6:$K$370))</f>
        <v>609,7 / 651,895</v>
      </c>
      <c r="K74" s="244">
        <v>0</v>
      </c>
      <c r="L74" s="28"/>
      <c r="M74" s="28" t="str">
        <f>CONCATENATE(SUMIF($E$6:$E74,$E74,$P$6:$P$370)," / ",SUMIF($E$6:$E$370,$E74,$P$6:$P$370))</f>
        <v>0 / 0</v>
      </c>
      <c r="N74" s="28" t="str">
        <f ca="1">CONCATENATE(SUMIF($F$6:$F74,$F74,$P74)," / ",SUMIF($F$6:$F$370,$F74,$P$6:$P$370))</f>
        <v>0 / 0</v>
      </c>
      <c r="O74" s="28" t="str">
        <f>CONCATENATE(SUM($P$6:$P74)," / ",SUM($P$6:$P438))</f>
        <v>528 / 528</v>
      </c>
      <c r="P74" s="244">
        <v>0</v>
      </c>
      <c r="Q74" s="28"/>
      <c r="R74" s="245">
        <v>0</v>
      </c>
      <c r="S74" s="28" t="str">
        <f>CONCATENATE(SUMIF($E$6:$E74,E74,$R$6:$R$370)," / ",SUMIF($E$6:$E$370,E74,$R$6:$R$370))</f>
        <v>0 / 0</v>
      </c>
      <c r="T74" s="28" t="str">
        <f>CONCATENATE(SUMIF($F$6:$F74,$F74,$R$6:$R$370)," / ",SUMIF($F$6:$F$370,$F74,$R$6:$R$370))</f>
        <v>0 / 0</v>
      </c>
      <c r="U74" s="28" t="str">
        <f>CONCATENATE(SUM($R$6:$R74)," / ",SUM($R$6:$R$370))</f>
        <v>0 / 0</v>
      </c>
    </row>
    <row r="75" spans="2:21" ht="13" thickBot="1">
      <c r="B75" s="399">
        <v>42439</v>
      </c>
      <c r="C75" s="35" t="str">
        <f t="shared" si="5"/>
        <v>Jeudi</v>
      </c>
      <c r="D75" s="35">
        <f t="shared" si="8"/>
        <v>70</v>
      </c>
      <c r="E75" s="124">
        <f t="shared" si="6"/>
        <v>11</v>
      </c>
      <c r="F75" s="124">
        <f t="shared" si="7"/>
        <v>3</v>
      </c>
      <c r="G75" s="27"/>
      <c r="H75" s="28" t="str">
        <f>CONCATENATE(SUMIF($E$6:$E75,$E75,$K$6:$K$370)," / ",SUMIF($E$6:$E$370,$E75,$K$6:$K$370))</f>
        <v>0 / 0</v>
      </c>
      <c r="I75" s="28" t="str">
        <f>CONCATENATE(SUMIF($F$6:$F75,$F75,$K$6:$K$370)," / ",SUMIF($F$6:$F$370,$F75,$K$6:$K$370))</f>
        <v>42 / 84,195</v>
      </c>
      <c r="J75" s="28" t="str">
        <f>CONCATENATE(SUM($K$6:$K75)," / ",SUM($K$6:$K$370))</f>
        <v>609,7 / 651,895</v>
      </c>
      <c r="K75" s="244">
        <v>0</v>
      </c>
      <c r="L75" s="28"/>
      <c r="M75" s="28" t="str">
        <f>CONCATENATE(SUMIF($E$6:$E75,$E75,$P$6:$P$370)," / ",SUMIF($E$6:$E$370,$E75,$P$6:$P$370))</f>
        <v>0 / 0</v>
      </c>
      <c r="N75" s="28" t="str">
        <f ca="1">CONCATENATE(SUMIF($F$6:$F75,$F75,$P75)," / ",SUMIF($F$6:$F$370,$F75,$P$6:$P$370))</f>
        <v>0 / 0</v>
      </c>
      <c r="O75" s="28" t="str">
        <f>CONCATENATE(SUM($P$6:$P75)," / ",SUM($P$6:$P439))</f>
        <v>528 / 528</v>
      </c>
      <c r="P75" s="244">
        <v>0</v>
      </c>
      <c r="Q75" s="28"/>
      <c r="R75" s="245">
        <v>0</v>
      </c>
      <c r="S75" s="28" t="str">
        <f>CONCATENATE(SUMIF($E$6:$E75,E75,$R$6:$R$370)," / ",SUMIF($E$6:$E$370,E75,$R$6:$R$370))</f>
        <v>0 / 0</v>
      </c>
      <c r="T75" s="28" t="str">
        <f>CONCATENATE(SUMIF($F$6:$F75,$F75,$R$6:$R$370)," / ",SUMIF($F$6:$F$370,$F75,$R$6:$R$370))</f>
        <v>0 / 0</v>
      </c>
      <c r="U75" s="28" t="str">
        <f>CONCATENATE(SUM($R$6:$R75)," / ",SUM($R$6:$R$370))</f>
        <v>0 / 0</v>
      </c>
    </row>
    <row r="76" spans="2:21" ht="13" thickBot="1">
      <c r="B76" s="399">
        <v>42440</v>
      </c>
      <c r="C76" s="35" t="str">
        <f t="shared" si="5"/>
        <v>Vendredi</v>
      </c>
      <c r="D76" s="35">
        <f t="shared" si="8"/>
        <v>71</v>
      </c>
      <c r="E76" s="124">
        <f t="shared" si="6"/>
        <v>11</v>
      </c>
      <c r="F76" s="124">
        <f t="shared" si="7"/>
        <v>3</v>
      </c>
      <c r="G76" s="27"/>
      <c r="H76" s="28" t="str">
        <f>CONCATENATE(SUMIF($E$6:$E76,$E76,$K$6:$K$370)," / ",SUMIF($E$6:$E$370,$E76,$K$6:$K$370))</f>
        <v>0 / 0</v>
      </c>
      <c r="I76" s="28" t="str">
        <f>CONCATENATE(SUMIF($F$6:$F76,$F76,$K$6:$K$370)," / ",SUMIF($F$6:$F$370,$F76,$K$6:$K$370))</f>
        <v>42 / 84,195</v>
      </c>
      <c r="J76" s="28" t="str">
        <f>CONCATENATE(SUM($K$6:$K76)," / ",SUM($K$6:$K$370))</f>
        <v>609,7 / 651,895</v>
      </c>
      <c r="K76" s="244">
        <v>0</v>
      </c>
      <c r="L76" s="28"/>
      <c r="M76" s="28" t="str">
        <f>CONCATENATE(SUMIF($E$6:$E76,$E76,$P$6:$P$370)," / ",SUMIF($E$6:$E$370,$E76,$P$6:$P$370))</f>
        <v>0 / 0</v>
      </c>
      <c r="N76" s="28" t="str">
        <f ca="1">CONCATENATE(SUMIF($F$6:$F76,$F76,$P76)," / ",SUMIF($F$6:$F$370,$F76,$P$6:$P$370))</f>
        <v>0 / 0</v>
      </c>
      <c r="O76" s="28" t="str">
        <f>CONCATENATE(SUM($P$6:$P76)," / ",SUM($P$6:$P440))</f>
        <v>528 / 528</v>
      </c>
      <c r="P76" s="244">
        <v>0</v>
      </c>
      <c r="Q76" s="28"/>
      <c r="R76" s="245">
        <v>0</v>
      </c>
      <c r="S76" s="28" t="str">
        <f>CONCATENATE(SUMIF($E$6:$E76,E76,$R$6:$R$370)," / ",SUMIF($E$6:$E$370,E76,$R$6:$R$370))</f>
        <v>0 / 0</v>
      </c>
      <c r="T76" s="28" t="str">
        <f>CONCATENATE(SUMIF($F$6:$F76,$F76,$R$6:$R$370)," / ",SUMIF($F$6:$F$370,$F76,$R$6:$R$370))</f>
        <v>0 / 0</v>
      </c>
      <c r="U76" s="28" t="str">
        <f>CONCATENATE(SUM($R$6:$R76)," / ",SUM($R$6:$R$370))</f>
        <v>0 / 0</v>
      </c>
    </row>
    <row r="77" spans="2:21" ht="13" thickBot="1">
      <c r="B77" s="399">
        <v>42441</v>
      </c>
      <c r="C77" s="35" t="str">
        <f t="shared" si="5"/>
        <v>Samedi</v>
      </c>
      <c r="D77" s="35">
        <f t="shared" si="8"/>
        <v>72</v>
      </c>
      <c r="E77" s="124">
        <f t="shared" si="6"/>
        <v>11</v>
      </c>
      <c r="F77" s="124">
        <f t="shared" si="7"/>
        <v>3</v>
      </c>
      <c r="G77" s="27"/>
      <c r="H77" s="28" t="str">
        <f>CONCATENATE(SUMIF($E$6:$E77,$E77,$K$6:$K$370)," / ",SUMIF($E$6:$E$370,$E77,$K$6:$K$370))</f>
        <v>0 / 0</v>
      </c>
      <c r="I77" s="28" t="str">
        <f>CONCATENATE(SUMIF($F$6:$F77,$F77,$K$6:$K$370)," / ",SUMIF($F$6:$F$370,$F77,$K$6:$K$370))</f>
        <v>42 / 84,195</v>
      </c>
      <c r="J77" s="28" t="str">
        <f>CONCATENATE(SUM($K$6:$K77)," / ",SUM($K$6:$K$370))</f>
        <v>609,7 / 651,895</v>
      </c>
      <c r="K77" s="244">
        <v>0</v>
      </c>
      <c r="L77" s="28"/>
      <c r="M77" s="28" t="str">
        <f>CONCATENATE(SUMIF($E$6:$E77,$E77,$P$6:$P$370)," / ",SUMIF($E$6:$E$370,$E77,$P$6:$P$370))</f>
        <v>0 / 0</v>
      </c>
      <c r="N77" s="28" t="str">
        <f ca="1">CONCATENATE(SUMIF($F$6:$F77,$F77,$P77)," / ",SUMIF($F$6:$F$370,$F77,$P$6:$P$370))</f>
        <v>0 / 0</v>
      </c>
      <c r="O77" s="28" t="str">
        <f>CONCATENATE(SUM($P$6:$P77)," / ",SUM($P$6:$P441))</f>
        <v>528 / 528</v>
      </c>
      <c r="P77" s="244">
        <v>0</v>
      </c>
      <c r="Q77" s="28"/>
      <c r="R77" s="245">
        <v>0</v>
      </c>
      <c r="S77" s="28" t="str">
        <f>CONCATENATE(SUMIF($E$6:$E77,E77,$R$6:$R$370)," / ",SUMIF($E$6:$E$370,E77,$R$6:$R$370))</f>
        <v>0 / 0</v>
      </c>
      <c r="T77" s="28" t="str">
        <f>CONCATENATE(SUMIF($F$6:$F77,$F77,$R$6:$R$370)," / ",SUMIF($F$6:$F$370,$F77,$R$6:$R$370))</f>
        <v>0 / 0</v>
      </c>
      <c r="U77" s="28" t="str">
        <f>CONCATENATE(SUM($R$6:$R77)," / ",SUM($R$6:$R$370))</f>
        <v>0 / 0</v>
      </c>
    </row>
    <row r="78" spans="2:21" ht="16" thickBot="1">
      <c r="B78" s="399">
        <v>42442</v>
      </c>
      <c r="C78" s="35" t="str">
        <f t="shared" si="5"/>
        <v>Dimanche</v>
      </c>
      <c r="D78" s="35">
        <f t="shared" si="8"/>
        <v>73</v>
      </c>
      <c r="E78" s="193">
        <f t="shared" si="6"/>
        <v>12</v>
      </c>
      <c r="F78" s="193">
        <f t="shared" ref="F78" si="9">MONTH(B78)</f>
        <v>3</v>
      </c>
      <c r="G78" s="195" t="s">
        <v>596</v>
      </c>
      <c r="H78" s="28" t="str">
        <f>CONCATENATE(SUMIF($E$6:$E78,$E78,$K$6:$K$370)," / ",SUMIF($E$6:$E$370,$E78,$K$6:$K$370))</f>
        <v>42,195 / 42,195</v>
      </c>
      <c r="I78" s="28" t="str">
        <f>CONCATENATE(SUMIF($F$6:$F78,$F78,$K$6:$K$370)," / ",SUMIF($F$6:$F$370,$F78,$K$6:$K$370))</f>
        <v>84,195 / 84,195</v>
      </c>
      <c r="J78" s="28" t="str">
        <f>CONCATENATE(SUM($K$6:$K78)," / ",SUM($K$6:$K$370))</f>
        <v>651,895 / 651,895</v>
      </c>
      <c r="K78" s="244">
        <v>42.195</v>
      </c>
      <c r="L78" s="28"/>
      <c r="M78" s="28" t="str">
        <f>CONCATENATE(SUMIF($E$6:$E78,$E78,$P$6:$P$370)," / ",SUMIF($E$6:$E$370,$E78,$P$6:$P$370))</f>
        <v>0 / 0</v>
      </c>
      <c r="N78" s="28" t="str">
        <f ca="1">CONCATENATE(SUMIF($F$6:$F78,$F78,$P78)," / ",SUMIF($F$6:$F$370,$F78,$P$6:$P$370))</f>
        <v>0 / 0</v>
      </c>
      <c r="O78" s="28" t="str">
        <f>CONCATENATE(SUM($P$6:$P78)," / ",SUM($P$6:$P442))</f>
        <v>528 / 528</v>
      </c>
      <c r="P78" s="244">
        <v>0</v>
      </c>
      <c r="Q78" s="28"/>
      <c r="R78" s="245">
        <v>0</v>
      </c>
      <c r="S78" s="28" t="str">
        <f>CONCATENATE(SUMIF($E$6:$E78,E78,$R$6:$R$370)," / ",SUMIF($E$6:$E$370,E78,$R$6:$R$370))</f>
        <v>0 / 0</v>
      </c>
      <c r="T78" s="28" t="str">
        <f>CONCATENATE(SUMIF($F$6:$F78,$F78,$R$6:$R$370)," / ",SUMIF($F$6:$F$370,$F78,$R$6:$R$370))</f>
        <v>0 / 0</v>
      </c>
      <c r="U78" s="28" t="str">
        <f>CONCATENATE(SUM($R$6:$R78)," / ",SUM($R$6:$R$370))</f>
        <v>0 / 0</v>
      </c>
    </row>
    <row r="79" spans="2:21" ht="13" thickBot="1">
      <c r="B79" s="399">
        <v>42443</v>
      </c>
      <c r="C79" s="35" t="str">
        <f t="shared" si="5"/>
        <v>Lundi</v>
      </c>
      <c r="D79" s="35">
        <f t="shared" si="8"/>
        <v>74</v>
      </c>
      <c r="E79" s="124">
        <f t="shared" si="6"/>
        <v>12</v>
      </c>
      <c r="F79" s="124">
        <f t="shared" si="7"/>
        <v>3</v>
      </c>
      <c r="G79" s="27"/>
      <c r="H79" s="28" t="str">
        <f>CONCATENATE(SUMIF($E$6:$E79,$E79,$K$6:$K$370)," / ",SUMIF($E$6:$E$370,$E79,$K$6:$K$370))</f>
        <v>42,195 / 42,195</v>
      </c>
      <c r="I79" s="28" t="str">
        <f>CONCATENATE(SUMIF($F$6:$F79,$F79,$K$6:$K$370)," / ",SUMIF($F$6:$F$370,$F79,$K$6:$K$370))</f>
        <v>84,195 / 84,195</v>
      </c>
      <c r="J79" s="28" t="str">
        <f>CONCATENATE(SUM($K$6:$K79)," / ",SUM($K$6:$K$370))</f>
        <v>651,895 / 651,895</v>
      </c>
      <c r="K79" s="244">
        <v>0</v>
      </c>
      <c r="L79" s="28"/>
      <c r="M79" s="28" t="str">
        <f>CONCATENATE(SUMIF($E$6:$E79,$E79,$P$6:$P$370)," / ",SUMIF($E$6:$E$370,$E79,$P$6:$P$370))</f>
        <v>0 / 0</v>
      </c>
      <c r="N79" s="28" t="str">
        <f ca="1">CONCATENATE(SUMIF($F$6:$F79,$F79,$P79)," / ",SUMIF($F$6:$F$370,$F79,$P$6:$P$370))</f>
        <v>0 / 0</v>
      </c>
      <c r="O79" s="28" t="str">
        <f>CONCATENATE(SUM($P$6:$P79)," / ",SUM($P$6:$P443))</f>
        <v>528 / 528</v>
      </c>
      <c r="P79" s="244">
        <v>0</v>
      </c>
      <c r="Q79" s="28"/>
      <c r="R79" s="245">
        <v>0</v>
      </c>
      <c r="S79" s="28" t="str">
        <f>CONCATENATE(SUMIF($E$6:$E79,E79,$R$6:$R$370)," / ",SUMIF($E$6:$E$370,E79,$R$6:$R$370))</f>
        <v>0 / 0</v>
      </c>
      <c r="T79" s="28" t="str">
        <f>CONCATENATE(SUMIF($F$6:$F79,$F79,$R$6:$R$370)," / ",SUMIF($F$6:$F$370,$F79,$R$6:$R$370))</f>
        <v>0 / 0</v>
      </c>
      <c r="U79" s="28" t="str">
        <f>CONCATENATE(SUM($R$6:$R79)," / ",SUM($R$6:$R$370))</f>
        <v>0 / 0</v>
      </c>
    </row>
    <row r="80" spans="2:21" ht="13" thickBot="1">
      <c r="B80" s="399">
        <v>42444</v>
      </c>
      <c r="C80" s="35" t="str">
        <f t="shared" si="5"/>
        <v>Mardi</v>
      </c>
      <c r="D80" s="35">
        <f t="shared" si="8"/>
        <v>75</v>
      </c>
      <c r="E80" s="124">
        <f t="shared" si="6"/>
        <v>12</v>
      </c>
      <c r="F80" s="124">
        <f t="shared" si="7"/>
        <v>3</v>
      </c>
      <c r="G80" s="27"/>
      <c r="H80" s="28" t="str">
        <f>CONCATENATE(SUMIF($E$6:$E80,$E80,$K$6:$K$370)," / ",SUMIF($E$6:$E$370,$E80,$K$6:$K$370))</f>
        <v>42,195 / 42,195</v>
      </c>
      <c r="I80" s="28" t="str">
        <f>CONCATENATE(SUMIF($F$6:$F80,$F80,$K$6:$K$370)," / ",SUMIF($F$6:$F$370,$F80,$K$6:$K$370))</f>
        <v>84,195 / 84,195</v>
      </c>
      <c r="J80" s="28" t="str">
        <f>CONCATENATE(SUM($K$6:$K80)," / ",SUM($K$6:$K$370))</f>
        <v>651,895 / 651,895</v>
      </c>
      <c r="K80" s="244">
        <v>0</v>
      </c>
      <c r="L80" s="28"/>
      <c r="M80" s="28" t="str">
        <f>CONCATENATE(SUMIF($E$6:$E80,$E80,$P$6:$P$370)," / ",SUMIF($E$6:$E$370,$E80,$P$6:$P$370))</f>
        <v>0 / 0</v>
      </c>
      <c r="N80" s="28" t="str">
        <f ca="1">CONCATENATE(SUMIF($F$6:$F80,$F80,$P80)," / ",SUMIF($F$6:$F$370,$F80,$P$6:$P$370))</f>
        <v>0 / 0</v>
      </c>
      <c r="O80" s="28" t="str">
        <f>CONCATENATE(SUM($P$6:$P80)," / ",SUM($P$6:$P444))</f>
        <v>528 / 528</v>
      </c>
      <c r="P80" s="244">
        <v>0</v>
      </c>
      <c r="Q80" s="28"/>
      <c r="R80" s="245">
        <v>0</v>
      </c>
      <c r="S80" s="28" t="str">
        <f>CONCATENATE(SUMIF($E$6:$E80,E80,$R$6:$R$370)," / ",SUMIF($E$6:$E$370,E80,$R$6:$R$370))</f>
        <v>0 / 0</v>
      </c>
      <c r="T80" s="28" t="str">
        <f>CONCATENATE(SUMIF($F$6:$F80,$F80,$R$6:$R$370)," / ",SUMIF($F$6:$F$370,$F80,$R$6:$R$370))</f>
        <v>0 / 0</v>
      </c>
      <c r="U80" s="28" t="str">
        <f>CONCATENATE(SUM($R$6:$R80)," / ",SUM($R$6:$R$370))</f>
        <v>0 / 0</v>
      </c>
    </row>
    <row r="81" spans="2:21" ht="13" thickBot="1">
      <c r="B81" s="399">
        <v>42445</v>
      </c>
      <c r="C81" s="35" t="str">
        <f t="shared" si="5"/>
        <v>Mercredi</v>
      </c>
      <c r="D81" s="35">
        <f t="shared" si="8"/>
        <v>76</v>
      </c>
      <c r="E81" s="124">
        <f t="shared" si="6"/>
        <v>12</v>
      </c>
      <c r="F81" s="124">
        <f t="shared" si="7"/>
        <v>3</v>
      </c>
      <c r="G81" s="27"/>
      <c r="H81" s="28" t="str">
        <f>CONCATENATE(SUMIF($E$6:$E81,$E81,$K$6:$K$370)," / ",SUMIF($E$6:$E$370,$E81,$K$6:$K$370))</f>
        <v>42,195 / 42,195</v>
      </c>
      <c r="I81" s="28" t="str">
        <f>CONCATENATE(SUMIF($F$6:$F81,$F81,$K$6:$K$370)," / ",SUMIF($F$6:$F$370,$F81,$K$6:$K$370))</f>
        <v>84,195 / 84,195</v>
      </c>
      <c r="J81" s="28" t="str">
        <f>CONCATENATE(SUM($K$6:$K81)," / ",SUM($K$6:$K$370))</f>
        <v>651,895 / 651,895</v>
      </c>
      <c r="K81" s="244">
        <v>0</v>
      </c>
      <c r="L81" s="28"/>
      <c r="M81" s="28" t="str">
        <f>CONCATENATE(SUMIF($E$6:$E81,$E81,$P$6:$P$370)," / ",SUMIF($E$6:$E$370,$E81,$P$6:$P$370))</f>
        <v>0 / 0</v>
      </c>
      <c r="N81" s="28" t="str">
        <f ca="1">CONCATENATE(SUMIF($F$6:$F81,$F81,$P81)," / ",SUMIF($F$6:$F$370,$F81,$P$6:$P$370))</f>
        <v>0 / 0</v>
      </c>
      <c r="O81" s="28" t="str">
        <f>CONCATENATE(SUM($P$6:$P81)," / ",SUM($P$6:$P445))</f>
        <v>528 / 528</v>
      </c>
      <c r="P81" s="244">
        <v>0</v>
      </c>
      <c r="Q81" s="28"/>
      <c r="R81" s="245">
        <v>0</v>
      </c>
      <c r="S81" s="28" t="str">
        <f>CONCATENATE(SUMIF($E$6:$E81,E81,$R$6:$R$370)," / ",SUMIF($E$6:$E$370,E81,$R$6:$R$370))</f>
        <v>0 / 0</v>
      </c>
      <c r="T81" s="28" t="str">
        <f>CONCATENATE(SUMIF($F$6:$F81,$F81,$R$6:$R$370)," / ",SUMIF($F$6:$F$370,$F81,$R$6:$R$370))</f>
        <v>0 / 0</v>
      </c>
      <c r="U81" s="28" t="str">
        <f>CONCATENATE(SUM($R$6:$R81)," / ",SUM($R$6:$R$370))</f>
        <v>0 / 0</v>
      </c>
    </row>
    <row r="82" spans="2:21" ht="13" thickBot="1">
      <c r="B82" s="399">
        <v>42446</v>
      </c>
      <c r="C82" s="35" t="str">
        <f t="shared" si="5"/>
        <v>Jeudi</v>
      </c>
      <c r="D82" s="35">
        <f t="shared" si="8"/>
        <v>77</v>
      </c>
      <c r="E82" s="124">
        <f t="shared" si="6"/>
        <v>12</v>
      </c>
      <c r="F82" s="124">
        <f t="shared" ref="F82:F83" si="10">MONTH(B82)</f>
        <v>3</v>
      </c>
      <c r="G82" s="27"/>
      <c r="H82" s="28" t="str">
        <f>CONCATENATE(SUMIF($E$6:$E82,$E82,$K$6:$K$370)," / ",SUMIF($E$6:$E$370,$E82,$K$6:$K$370))</f>
        <v>42,195 / 42,195</v>
      </c>
      <c r="I82" s="28" t="str">
        <f>CONCATENATE(SUMIF($F$6:$F82,$F82,$K$6:$K$370)," / ",SUMIF($F$6:$F$370,$F82,$K$6:$K$370))</f>
        <v>84,195 / 84,195</v>
      </c>
      <c r="J82" s="28" t="str">
        <f>CONCATENATE(SUM($K$6:$K82)," / ",SUM($K$6:$K$370))</f>
        <v>651,895 / 651,895</v>
      </c>
      <c r="K82" s="244">
        <v>0</v>
      </c>
      <c r="L82" s="28"/>
      <c r="M82" s="28" t="str">
        <f>CONCATENATE(SUMIF($E$6:$E82,$E82,$P$6:$P$370)," / ",SUMIF($E$6:$E$370,$E82,$P$6:$P$370))</f>
        <v>0 / 0</v>
      </c>
      <c r="N82" s="28" t="str">
        <f ca="1">CONCATENATE(SUMIF($F$6:$F82,$F82,$P82)," / ",SUMIF($F$6:$F$370,$F82,$P$6:$P$370))</f>
        <v>0 / 0</v>
      </c>
      <c r="O82" s="28" t="str">
        <f>CONCATENATE(SUM($P$6:$P82)," / ",SUM($P$6:$P446))</f>
        <v>528 / 528</v>
      </c>
      <c r="P82" s="244">
        <v>0</v>
      </c>
      <c r="Q82" s="28"/>
      <c r="R82" s="245">
        <v>0</v>
      </c>
      <c r="S82" s="28" t="str">
        <f>CONCATENATE(SUMIF($E$6:$E82,E82,$R$6:$R$370)," / ",SUMIF($E$6:$E$370,E82,$R$6:$R$370))</f>
        <v>0 / 0</v>
      </c>
      <c r="T82" s="28" t="str">
        <f>CONCATENATE(SUMIF($F$6:$F82,$F82,$R$6:$R$370)," / ",SUMIF($F$6:$F$370,$F82,$R$6:$R$370))</f>
        <v>0 / 0</v>
      </c>
      <c r="U82" s="28" t="str">
        <f>CONCATENATE(SUM($R$6:$R82)," / ",SUM($R$6:$R$370))</f>
        <v>0 / 0</v>
      </c>
    </row>
    <row r="83" spans="2:21" ht="13" thickBot="1">
      <c r="B83" s="399">
        <v>42447</v>
      </c>
      <c r="C83" s="35" t="str">
        <f t="shared" si="5"/>
        <v>Vendredi</v>
      </c>
      <c r="D83" s="35">
        <f t="shared" si="8"/>
        <v>78</v>
      </c>
      <c r="E83" s="124">
        <f t="shared" si="6"/>
        <v>12</v>
      </c>
      <c r="F83" s="124">
        <f t="shared" si="10"/>
        <v>3</v>
      </c>
      <c r="G83" s="27"/>
      <c r="H83" s="28" t="str">
        <f>CONCATENATE(SUMIF($E$6:$E83,$E83,$K$6:$K$370)," / ",SUMIF($E$6:$E$370,$E83,$K$6:$K$370))</f>
        <v>42,195 / 42,195</v>
      </c>
      <c r="I83" s="28" t="str">
        <f>CONCATENATE(SUMIF($F$6:$F83,$F83,$K$6:$K$370)," / ",SUMIF($F$6:$F$370,$F83,$K$6:$K$370))</f>
        <v>84,195 / 84,195</v>
      </c>
      <c r="J83" s="28" t="str">
        <f>CONCATENATE(SUM($K$6:$K83)," / ",SUM($K$6:$K$370))</f>
        <v>651,895 / 651,895</v>
      </c>
      <c r="K83" s="244">
        <v>0</v>
      </c>
      <c r="L83" s="28"/>
      <c r="M83" s="28" t="str">
        <f>CONCATENATE(SUMIF($E$6:$E83,$E83,$P$6:$P$370)," / ",SUMIF($E$6:$E$370,$E83,$P$6:$P$370))</f>
        <v>0 / 0</v>
      </c>
      <c r="N83" s="28" t="str">
        <f ca="1">CONCATENATE(SUMIF($F$6:$F83,$F83,$P83)," / ",SUMIF($F$6:$F$370,$F83,$P$6:$P$370))</f>
        <v>0 / 0</v>
      </c>
      <c r="O83" s="28" t="str">
        <f>CONCATENATE(SUM($P$6:$P83)," / ",SUM($P$6:$P447))</f>
        <v>528 / 528</v>
      </c>
      <c r="P83" s="244">
        <v>0</v>
      </c>
      <c r="Q83" s="28"/>
      <c r="R83" s="245">
        <v>0</v>
      </c>
      <c r="S83" s="28" t="str">
        <f>CONCATENATE(SUMIF($E$6:$E83,E83,$R$6:$R$370)," / ",SUMIF($E$6:$E$370,E83,$R$6:$R$370))</f>
        <v>0 / 0</v>
      </c>
      <c r="T83" s="28" t="str">
        <f>CONCATENATE(SUMIF($F$6:$F83,$F83,$R$6:$R$370)," / ",SUMIF($F$6:$F$370,$F83,$R$6:$R$370))</f>
        <v>0 / 0</v>
      </c>
      <c r="U83" s="28" t="str">
        <f>CONCATENATE(SUM($R$6:$R83)," / ",SUM($R$6:$R$370))</f>
        <v>0 / 0</v>
      </c>
    </row>
    <row r="84" spans="2:21" ht="13" thickBot="1">
      <c r="B84" s="399">
        <v>42448</v>
      </c>
      <c r="C84" s="35" t="str">
        <f t="shared" si="5"/>
        <v>Samedi</v>
      </c>
      <c r="D84" s="35">
        <f t="shared" si="8"/>
        <v>79</v>
      </c>
      <c r="E84" s="124">
        <f t="shared" si="6"/>
        <v>12</v>
      </c>
      <c r="F84" s="124">
        <f t="shared" si="7"/>
        <v>3</v>
      </c>
      <c r="G84" s="27"/>
      <c r="H84" s="28" t="str">
        <f>CONCATENATE(SUMIF($E$6:$E84,$E84,$K$6:$K$370)," / ",SUMIF($E$6:$E$370,$E84,$K$6:$K$370))</f>
        <v>42,195 / 42,195</v>
      </c>
      <c r="I84" s="28" t="str">
        <f>CONCATENATE(SUMIF($F$6:$F84,$F84,$K$6:$K$370)," / ",SUMIF($F$6:$F$370,$F84,$K$6:$K$370))</f>
        <v>84,195 / 84,195</v>
      </c>
      <c r="J84" s="28" t="str">
        <f>CONCATENATE(SUM($K$6:$K84)," / ",SUM($K$6:$K$370))</f>
        <v>651,895 / 651,895</v>
      </c>
      <c r="K84" s="244">
        <v>0</v>
      </c>
      <c r="L84" s="28"/>
      <c r="M84" s="28" t="str">
        <f>CONCATENATE(SUMIF($E$6:$E84,$E84,$P$6:$P$370)," / ",SUMIF($E$6:$E$370,$E84,$P$6:$P$370))</f>
        <v>0 / 0</v>
      </c>
      <c r="N84" s="28" t="str">
        <f ca="1">CONCATENATE(SUMIF($F$6:$F84,$F84,$P84)," / ",SUMIF($F$6:$F$370,$F84,$P$6:$P$370))</f>
        <v>0 / 0</v>
      </c>
      <c r="O84" s="28" t="str">
        <f>CONCATENATE(SUM($P$6:$P84)," / ",SUM($P$6:$P448))</f>
        <v>528 / 528</v>
      </c>
      <c r="P84" s="244">
        <v>0</v>
      </c>
      <c r="Q84" s="28"/>
      <c r="R84" s="245">
        <v>0</v>
      </c>
      <c r="S84" s="28" t="str">
        <f>CONCATENATE(SUMIF($E$6:$E84,E84,$R$6:$R$370)," / ",SUMIF($E$6:$E$370,E84,$R$6:$R$370))</f>
        <v>0 / 0</v>
      </c>
      <c r="T84" s="28" t="str">
        <f>CONCATENATE(SUMIF($F$6:$F84,$F84,$R$6:$R$370)," / ",SUMIF($F$6:$F$370,$F84,$R$6:$R$370))</f>
        <v>0 / 0</v>
      </c>
      <c r="U84" s="28" t="str">
        <f>CONCATENATE(SUM($R$6:$R84)," / ",SUM($R$6:$R$370))</f>
        <v>0 / 0</v>
      </c>
    </row>
    <row r="85" spans="2:21" ht="13" thickBot="1">
      <c r="B85" s="399">
        <v>42449</v>
      </c>
      <c r="C85" s="35" t="str">
        <f t="shared" si="5"/>
        <v>Dimanche</v>
      </c>
      <c r="D85" s="35">
        <f t="shared" si="8"/>
        <v>80</v>
      </c>
      <c r="E85" s="124">
        <f t="shared" si="6"/>
        <v>13</v>
      </c>
      <c r="F85" s="124">
        <f t="shared" si="7"/>
        <v>3</v>
      </c>
      <c r="G85" s="27"/>
      <c r="H85" s="28" t="str">
        <f>CONCATENATE(SUMIF($E$6:$E85,$E85,$K$6:$K$370)," / ",SUMIF($E$6:$E$370,$E85,$K$6:$K$370))</f>
        <v>0 / 0</v>
      </c>
      <c r="I85" s="28" t="str">
        <f>CONCATENATE(SUMIF($F$6:$F85,$F85,$K$6:$K$370)," / ",SUMIF($F$6:$F$370,$F85,$K$6:$K$370))</f>
        <v>84,195 / 84,195</v>
      </c>
      <c r="J85" s="28" t="str">
        <f>CONCATENATE(SUM($K$6:$K85)," / ",SUM($K$6:$K$370))</f>
        <v>651,895 / 651,895</v>
      </c>
      <c r="K85" s="244">
        <v>0</v>
      </c>
      <c r="L85" s="28"/>
      <c r="M85" s="28" t="str">
        <f>CONCATENATE(SUMIF($E$6:$E85,$E85,$P$6:$P$370)," / ",SUMIF($E$6:$E$370,$E85,$P$6:$P$370))</f>
        <v>0 / 0</v>
      </c>
      <c r="N85" s="28" t="str">
        <f ca="1">CONCATENATE(SUMIF($F$6:$F85,$F85,$P85)," / ",SUMIF($F$6:$F$370,$F85,$P$6:$P$370))</f>
        <v>0 / 0</v>
      </c>
      <c r="O85" s="28" t="str">
        <f>CONCATENATE(SUM($P$6:$P85)," / ",SUM($P$6:$P449))</f>
        <v>528 / 528</v>
      </c>
      <c r="P85" s="244">
        <v>0</v>
      </c>
      <c r="Q85" s="28"/>
      <c r="R85" s="245">
        <v>0</v>
      </c>
      <c r="S85" s="28" t="str">
        <f>CONCATENATE(SUMIF($E$6:$E85,E85,$R$6:$R$370)," / ",SUMIF($E$6:$E$370,E85,$R$6:$R$370))</f>
        <v>0 / 0</v>
      </c>
      <c r="T85" s="28" t="str">
        <f>CONCATENATE(SUMIF($F$6:$F85,$F85,$R$6:$R$370)," / ",SUMIF($F$6:$F$370,$F85,$R$6:$R$370))</f>
        <v>0 / 0</v>
      </c>
      <c r="U85" s="28" t="str">
        <f>CONCATENATE(SUM($R$6:$R85)," / ",SUM($R$6:$R$370))</f>
        <v>0 / 0</v>
      </c>
    </row>
    <row r="86" spans="2:21" ht="13" thickBot="1">
      <c r="B86" s="399">
        <v>42450</v>
      </c>
      <c r="C86" s="35" t="str">
        <f t="shared" si="5"/>
        <v>Lundi</v>
      </c>
      <c r="D86" s="35">
        <f t="shared" si="8"/>
        <v>81</v>
      </c>
      <c r="E86" s="124">
        <f t="shared" si="6"/>
        <v>13</v>
      </c>
      <c r="F86" s="124">
        <f t="shared" si="7"/>
        <v>3</v>
      </c>
      <c r="G86" s="27"/>
      <c r="H86" s="28" t="str">
        <f>CONCATENATE(SUMIF($E$6:$E86,$E86,$K$6:$K$370)," / ",SUMIF($E$6:$E$370,$E86,$K$6:$K$370))</f>
        <v>0 / 0</v>
      </c>
      <c r="I86" s="28" t="str">
        <f>CONCATENATE(SUMIF($F$6:$F86,$F86,$K$6:$K$370)," / ",SUMIF($F$6:$F$370,$F86,$K$6:$K$370))</f>
        <v>84,195 / 84,195</v>
      </c>
      <c r="J86" s="28" t="str">
        <f>CONCATENATE(SUM($K$6:$K86)," / ",SUM($K$6:$K$370))</f>
        <v>651,895 / 651,895</v>
      </c>
      <c r="K86" s="244">
        <v>0</v>
      </c>
      <c r="L86" s="28"/>
      <c r="M86" s="28" t="str">
        <f>CONCATENATE(SUMIF($E$6:$E86,$E86,$P$6:$P$370)," / ",SUMIF($E$6:$E$370,$E86,$P$6:$P$370))</f>
        <v>0 / 0</v>
      </c>
      <c r="N86" s="28" t="str">
        <f ca="1">CONCATENATE(SUMIF($F$6:$F86,$F86,$P86)," / ",SUMIF($F$6:$F$370,$F86,$P$6:$P$370))</f>
        <v>0 / 0</v>
      </c>
      <c r="O86" s="28" t="str">
        <f>CONCATENATE(SUM($P$6:$P86)," / ",SUM($P$6:$P450))</f>
        <v>528 / 528</v>
      </c>
      <c r="P86" s="244">
        <v>0</v>
      </c>
      <c r="Q86" s="28"/>
      <c r="R86" s="245">
        <v>0</v>
      </c>
      <c r="S86" s="28" t="str">
        <f>CONCATENATE(SUMIF($E$6:$E86,E86,$R$6:$R$370)," / ",SUMIF($E$6:$E$370,E86,$R$6:$R$370))</f>
        <v>0 / 0</v>
      </c>
      <c r="T86" s="28" t="str">
        <f>CONCATENATE(SUMIF($F$6:$F86,$F86,$R$6:$R$370)," / ",SUMIF($F$6:$F$370,$F86,$R$6:$R$370))</f>
        <v>0 / 0</v>
      </c>
      <c r="U86" s="28" t="str">
        <f>CONCATENATE(SUM($R$6:$R86)," / ",SUM($R$6:$R$370))</f>
        <v>0 / 0</v>
      </c>
    </row>
    <row r="87" spans="2:21" ht="13" thickBot="1">
      <c r="B87" s="399">
        <v>42451</v>
      </c>
      <c r="C87" s="35" t="str">
        <f t="shared" si="5"/>
        <v>Mardi</v>
      </c>
      <c r="D87" s="35">
        <f t="shared" si="8"/>
        <v>82</v>
      </c>
      <c r="E87" s="124">
        <f t="shared" si="6"/>
        <v>13</v>
      </c>
      <c r="F87" s="124">
        <f t="shared" si="7"/>
        <v>3</v>
      </c>
      <c r="G87" s="27"/>
      <c r="H87" s="28" t="str">
        <f>CONCATENATE(SUMIF($E$6:$E87,$E87,$K$6:$K$370)," / ",SUMIF($E$6:$E$370,$E87,$K$6:$K$370))</f>
        <v>0 / 0</v>
      </c>
      <c r="I87" s="28" t="str">
        <f>CONCATENATE(SUMIF($F$6:$F87,$F87,$K$6:$K$370)," / ",SUMIF($F$6:$F$370,$F87,$K$6:$K$370))</f>
        <v>84,195 / 84,195</v>
      </c>
      <c r="J87" s="28" t="str">
        <f>CONCATENATE(SUM($K$6:$K87)," / ",SUM($K$6:$K$370))</f>
        <v>651,895 / 651,895</v>
      </c>
      <c r="K87" s="244">
        <v>0</v>
      </c>
      <c r="L87" s="28"/>
      <c r="M87" s="28" t="str">
        <f>CONCATENATE(SUMIF($E$6:$E87,$E87,$P$6:$P$370)," / ",SUMIF($E$6:$E$370,$E87,$P$6:$P$370))</f>
        <v>0 / 0</v>
      </c>
      <c r="N87" s="28" t="str">
        <f ca="1">CONCATENATE(SUMIF($F$6:$F87,$F87,$P87)," / ",SUMIF($F$6:$F$370,$F87,$P$6:$P$370))</f>
        <v>0 / 0</v>
      </c>
      <c r="O87" s="28" t="str">
        <f>CONCATENATE(SUM($P$6:$P87)," / ",SUM($P$6:$P451))</f>
        <v>528 / 528</v>
      </c>
      <c r="P87" s="244">
        <v>0</v>
      </c>
      <c r="Q87" s="28"/>
      <c r="R87" s="245">
        <v>0</v>
      </c>
      <c r="S87" s="28" t="str">
        <f>CONCATENATE(SUMIF($E$6:$E87,E87,$R$6:$R$370)," / ",SUMIF($E$6:$E$370,E87,$R$6:$R$370))</f>
        <v>0 / 0</v>
      </c>
      <c r="T87" s="28" t="str">
        <f>CONCATENATE(SUMIF($F$6:$F87,$F87,$R$6:$R$370)," / ",SUMIF($F$6:$F$370,$F87,$R$6:$R$370))</f>
        <v>0 / 0</v>
      </c>
      <c r="U87" s="28" t="str">
        <f>CONCATENATE(SUM($R$6:$R87)," / ",SUM($R$6:$R$370))</f>
        <v>0 / 0</v>
      </c>
    </row>
    <row r="88" spans="2:21" ht="13" thickBot="1">
      <c r="B88" s="399">
        <v>42452</v>
      </c>
      <c r="C88" s="35" t="str">
        <f t="shared" si="5"/>
        <v>Mercredi</v>
      </c>
      <c r="D88" s="35">
        <f t="shared" si="8"/>
        <v>83</v>
      </c>
      <c r="E88" s="124">
        <f t="shared" si="6"/>
        <v>13</v>
      </c>
      <c r="F88" s="124">
        <f t="shared" si="7"/>
        <v>3</v>
      </c>
      <c r="G88" s="27"/>
      <c r="H88" s="28" t="str">
        <f>CONCATENATE(SUMIF($E$6:$E88,$E88,$K$6:$K$370)," / ",SUMIF($E$6:$E$370,$E88,$K$6:$K$370))</f>
        <v>0 / 0</v>
      </c>
      <c r="I88" s="28" t="str">
        <f>CONCATENATE(SUMIF($F$6:$F88,$F88,$K$6:$K$370)," / ",SUMIF($F$6:$F$370,$F88,$K$6:$K$370))</f>
        <v>84,195 / 84,195</v>
      </c>
      <c r="J88" s="28" t="str">
        <f>CONCATENATE(SUM($K$6:$K88)," / ",SUM($K$6:$K$370))</f>
        <v>651,895 / 651,895</v>
      </c>
      <c r="K88" s="244">
        <v>0</v>
      </c>
      <c r="L88" s="28"/>
      <c r="M88" s="28" t="str">
        <f>CONCATENATE(SUMIF($E$6:$E88,$E88,$P$6:$P$370)," / ",SUMIF($E$6:$E$370,$E88,$P$6:$P$370))</f>
        <v>0 / 0</v>
      </c>
      <c r="N88" s="28" t="str">
        <f ca="1">CONCATENATE(SUMIF($F$6:$F88,$F88,$P88)," / ",SUMIF($F$6:$F$370,$F88,$P$6:$P$370))</f>
        <v>0 / 0</v>
      </c>
      <c r="O88" s="28" t="str">
        <f>CONCATENATE(SUM($P$6:$P88)," / ",SUM($P$6:$P452))</f>
        <v>528 / 528</v>
      </c>
      <c r="P88" s="244">
        <v>0</v>
      </c>
      <c r="Q88" s="28"/>
      <c r="R88" s="245">
        <v>0</v>
      </c>
      <c r="S88" s="28" t="str">
        <f>CONCATENATE(SUMIF($E$6:$E88,E88,$R$6:$R$370)," / ",SUMIF($E$6:$E$370,E88,$R$6:$R$370))</f>
        <v>0 / 0</v>
      </c>
      <c r="T88" s="28" t="str">
        <f>CONCATENATE(SUMIF($F$6:$F88,$F88,$R$6:$R$370)," / ",SUMIF($F$6:$F$370,$F88,$R$6:$R$370))</f>
        <v>0 / 0</v>
      </c>
      <c r="U88" s="28" t="str">
        <f>CONCATENATE(SUM($R$6:$R88)," / ",SUM($R$6:$R$370))</f>
        <v>0 / 0</v>
      </c>
    </row>
    <row r="89" spans="2:21" ht="13" thickBot="1">
      <c r="B89" s="399">
        <v>42453</v>
      </c>
      <c r="C89" s="35" t="str">
        <f t="shared" si="5"/>
        <v>Jeudi</v>
      </c>
      <c r="D89" s="35">
        <f t="shared" si="8"/>
        <v>84</v>
      </c>
      <c r="E89" s="124">
        <f t="shared" si="6"/>
        <v>13</v>
      </c>
      <c r="F89" s="124">
        <f t="shared" si="7"/>
        <v>3</v>
      </c>
      <c r="G89" s="27"/>
      <c r="H89" s="28" t="str">
        <f>CONCATENATE(SUMIF($E$6:$E89,$E89,$K$6:$K$370)," / ",SUMIF($E$6:$E$370,$E89,$K$6:$K$370))</f>
        <v>0 / 0</v>
      </c>
      <c r="I89" s="28" t="str">
        <f>CONCATENATE(SUMIF($F$6:$F89,$F89,$K$6:$K$370)," / ",SUMIF($F$6:$F$370,$F89,$K$6:$K$370))</f>
        <v>84,195 / 84,195</v>
      </c>
      <c r="J89" s="28" t="str">
        <f>CONCATENATE(SUM($K$6:$K89)," / ",SUM($K$6:$K$370))</f>
        <v>651,895 / 651,895</v>
      </c>
      <c r="K89" s="244">
        <v>0</v>
      </c>
      <c r="L89" s="28"/>
      <c r="M89" s="28" t="str">
        <f>CONCATENATE(SUMIF($E$6:$E89,$E89,$P$6:$P$370)," / ",SUMIF($E$6:$E$370,$E89,$P$6:$P$370))</f>
        <v>0 / 0</v>
      </c>
      <c r="N89" s="28" t="str">
        <f ca="1">CONCATENATE(SUMIF($F$6:$F89,$F89,$P89)," / ",SUMIF($F$6:$F$370,$F89,$P$6:$P$370))</f>
        <v>0 / 0</v>
      </c>
      <c r="O89" s="28" t="str">
        <f>CONCATENATE(SUM($P$6:$P89)," / ",SUM($P$6:$P453))</f>
        <v>528 / 528</v>
      </c>
      <c r="P89" s="244">
        <v>0</v>
      </c>
      <c r="Q89" s="28"/>
      <c r="R89" s="245">
        <v>0</v>
      </c>
      <c r="S89" s="28" t="str">
        <f>CONCATENATE(SUMIF($E$6:$E89,E89,$R$6:$R$370)," / ",SUMIF($E$6:$E$370,E89,$R$6:$R$370))</f>
        <v>0 / 0</v>
      </c>
      <c r="T89" s="28" t="str">
        <f>CONCATENATE(SUMIF($F$6:$F89,$F89,$R$6:$R$370)," / ",SUMIF($F$6:$F$370,$F89,$R$6:$R$370))</f>
        <v>0 / 0</v>
      </c>
      <c r="U89" s="28" t="str">
        <f>CONCATENATE(SUM($R$6:$R89)," / ",SUM($R$6:$R$370))</f>
        <v>0 / 0</v>
      </c>
    </row>
    <row r="90" spans="2:21" ht="13" thickBot="1">
      <c r="B90" s="399">
        <v>42454</v>
      </c>
      <c r="C90" s="35" t="str">
        <f t="shared" si="5"/>
        <v>Vendredi</v>
      </c>
      <c r="D90" s="35">
        <f t="shared" si="8"/>
        <v>85</v>
      </c>
      <c r="E90" s="124">
        <f t="shared" si="6"/>
        <v>13</v>
      </c>
      <c r="F90" s="124">
        <f t="shared" si="7"/>
        <v>3</v>
      </c>
      <c r="G90" s="27"/>
      <c r="H90" s="28" t="str">
        <f>CONCATENATE(SUMIF($E$6:$E90,$E90,$K$6:$K$370)," / ",SUMIF($E$6:$E$370,$E90,$K$6:$K$370))</f>
        <v>0 / 0</v>
      </c>
      <c r="I90" s="28" t="str">
        <f>CONCATENATE(SUMIF($F$6:$F90,$F90,$K$6:$K$370)," / ",SUMIF($F$6:$F$370,$F90,$K$6:$K$370))</f>
        <v>84,195 / 84,195</v>
      </c>
      <c r="J90" s="28" t="str">
        <f>CONCATENATE(SUM($K$6:$K90)," / ",SUM($K$6:$K$370))</f>
        <v>651,895 / 651,895</v>
      </c>
      <c r="K90" s="244">
        <v>0</v>
      </c>
      <c r="L90" s="28"/>
      <c r="M90" s="28" t="str">
        <f>CONCATENATE(SUMIF($E$6:$E90,$E90,$P$6:$P$370)," / ",SUMIF($E$6:$E$370,$E90,$P$6:$P$370))</f>
        <v>0 / 0</v>
      </c>
      <c r="N90" s="28" t="str">
        <f ca="1">CONCATENATE(SUMIF($F$6:$F90,$F90,$P90)," / ",SUMIF($F$6:$F$370,$F90,$P$6:$P$370))</f>
        <v>0 / 0</v>
      </c>
      <c r="O90" s="28" t="str">
        <f>CONCATENATE(SUM($P$6:$P90)," / ",SUM($P$6:$P454))</f>
        <v>528 / 528</v>
      </c>
      <c r="P90" s="244">
        <v>0</v>
      </c>
      <c r="Q90" s="28"/>
      <c r="R90" s="245">
        <v>0</v>
      </c>
      <c r="S90" s="28" t="str">
        <f>CONCATENATE(SUMIF($E$6:$E90,E90,$R$6:$R$370)," / ",SUMIF($E$6:$E$370,E90,$R$6:$R$370))</f>
        <v>0 / 0</v>
      </c>
      <c r="T90" s="28" t="str">
        <f>CONCATENATE(SUMIF($F$6:$F90,$F90,$R$6:$R$370)," / ",SUMIF($F$6:$F$370,$F90,$R$6:$R$370))</f>
        <v>0 / 0</v>
      </c>
      <c r="U90" s="28" t="str">
        <f>CONCATENATE(SUM($R$6:$R90)," / ",SUM($R$6:$R$370))</f>
        <v>0 / 0</v>
      </c>
    </row>
    <row r="91" spans="2:21" ht="13" thickBot="1">
      <c r="B91" s="399">
        <v>42455</v>
      </c>
      <c r="C91" s="35" t="str">
        <f t="shared" si="5"/>
        <v>Samedi</v>
      </c>
      <c r="D91" s="35">
        <f t="shared" si="8"/>
        <v>86</v>
      </c>
      <c r="E91" s="124">
        <f t="shared" si="6"/>
        <v>13</v>
      </c>
      <c r="F91" s="124">
        <f t="shared" si="7"/>
        <v>3</v>
      </c>
      <c r="G91" s="27"/>
      <c r="H91" s="28" t="str">
        <f>CONCATENATE(SUMIF($E$6:$E91,$E91,$K$6:$K$370)," / ",SUMIF($E$6:$E$370,$E91,$K$6:$K$370))</f>
        <v>0 / 0</v>
      </c>
      <c r="I91" s="28" t="str">
        <f>CONCATENATE(SUMIF($F$6:$F91,$F91,$K$6:$K$370)," / ",SUMIF($F$6:$F$370,$F91,$K$6:$K$370))</f>
        <v>84,195 / 84,195</v>
      </c>
      <c r="J91" s="28" t="str">
        <f>CONCATENATE(SUM($K$6:$K91)," / ",SUM($K$6:$K$370))</f>
        <v>651,895 / 651,895</v>
      </c>
      <c r="K91" s="244">
        <v>0</v>
      </c>
      <c r="L91" s="28"/>
      <c r="M91" s="28" t="str">
        <f>CONCATENATE(SUMIF($E$6:$E91,$E91,$P$6:$P$370)," / ",SUMIF($E$6:$E$370,$E91,$P$6:$P$370))</f>
        <v>0 / 0</v>
      </c>
      <c r="N91" s="28" t="str">
        <f ca="1">CONCATENATE(SUMIF($F$6:$F91,$F91,$P91)," / ",SUMIF($F$6:$F$370,$F91,$P$6:$P$370))</f>
        <v>0 / 0</v>
      </c>
      <c r="O91" s="28" t="str">
        <f>CONCATENATE(SUM($P$6:$P91)," / ",SUM($P$6:$P455))</f>
        <v>528 / 528</v>
      </c>
      <c r="P91" s="244">
        <v>0</v>
      </c>
      <c r="Q91" s="28"/>
      <c r="R91" s="245">
        <v>0</v>
      </c>
      <c r="S91" s="28" t="str">
        <f>CONCATENATE(SUMIF($E$6:$E91,E91,$R$6:$R$370)," / ",SUMIF($E$6:$E$370,E91,$R$6:$R$370))</f>
        <v>0 / 0</v>
      </c>
      <c r="T91" s="28" t="str">
        <f>CONCATENATE(SUMIF($F$6:$F91,$F91,$R$6:$R$370)," / ",SUMIF($F$6:$F$370,$F91,$R$6:$R$370))</f>
        <v>0 / 0</v>
      </c>
      <c r="U91" s="28" t="str">
        <f>CONCATENATE(SUM($R$6:$R91)," / ",SUM($R$6:$R$370))</f>
        <v>0 / 0</v>
      </c>
    </row>
    <row r="92" spans="2:21" ht="13" thickBot="1">
      <c r="B92" s="399">
        <v>42456</v>
      </c>
      <c r="C92" s="35" t="str">
        <f t="shared" si="5"/>
        <v>Dimanche</v>
      </c>
      <c r="D92" s="35">
        <f t="shared" si="8"/>
        <v>87</v>
      </c>
      <c r="E92" s="124">
        <f t="shared" si="6"/>
        <v>14</v>
      </c>
      <c r="F92" s="124">
        <f t="shared" si="7"/>
        <v>3</v>
      </c>
      <c r="G92" s="27"/>
      <c r="H92" s="28" t="str">
        <f>CONCATENATE(SUMIF($E$6:$E92,$E92,$K$6:$K$370)," / ",SUMIF($E$6:$E$370,$E92,$K$6:$K$370))</f>
        <v>0 / 0</v>
      </c>
      <c r="I92" s="28" t="str">
        <f>CONCATENATE(SUMIF($F$6:$F92,$F92,$K$6:$K$370)," / ",SUMIF($F$6:$F$370,$F92,$K$6:$K$370))</f>
        <v>84,195 / 84,195</v>
      </c>
      <c r="J92" s="28" t="str">
        <f>CONCATENATE(SUM($K$6:$K92)," / ",SUM($K$6:$K$370))</f>
        <v>651,895 / 651,895</v>
      </c>
      <c r="K92" s="244">
        <v>0</v>
      </c>
      <c r="L92" s="28"/>
      <c r="M92" s="28" t="str">
        <f>CONCATENATE(SUMIF($E$6:$E92,$E92,$P$6:$P$370)," / ",SUMIF($E$6:$E$370,$E92,$P$6:$P$370))</f>
        <v>0 / 0</v>
      </c>
      <c r="N92" s="28" t="str">
        <f ca="1">CONCATENATE(SUMIF($F$6:$F92,$F92,$P92)," / ",SUMIF($F$6:$F$370,$F92,$P$6:$P$370))</f>
        <v>0 / 0</v>
      </c>
      <c r="O92" s="28" t="str">
        <f>CONCATENATE(SUM($P$6:$P92)," / ",SUM($P$6:$P456))</f>
        <v>528 / 528</v>
      </c>
      <c r="P92" s="244">
        <v>0</v>
      </c>
      <c r="Q92" s="28"/>
      <c r="R92" s="245">
        <v>0</v>
      </c>
      <c r="S92" s="28" t="str">
        <f>CONCATENATE(SUMIF($E$6:$E92,E92,$R$6:$R$370)," / ",SUMIF($E$6:$E$370,E92,$R$6:$R$370))</f>
        <v>0 / 0</v>
      </c>
      <c r="T92" s="28" t="str">
        <f>CONCATENATE(SUMIF($F$6:$F92,$F92,$R$6:$R$370)," / ",SUMIF($F$6:$F$370,$F92,$R$6:$R$370))</f>
        <v>0 / 0</v>
      </c>
      <c r="U92" s="28" t="str">
        <f>CONCATENATE(SUM($R$6:$R92)," / ",SUM($R$6:$R$370))</f>
        <v>0 / 0</v>
      </c>
    </row>
    <row r="93" spans="2:21" ht="13" thickBot="1">
      <c r="B93" s="399">
        <v>42457</v>
      </c>
      <c r="C93" s="35" t="str">
        <f t="shared" si="5"/>
        <v>Lundi</v>
      </c>
      <c r="D93" s="35">
        <f t="shared" si="8"/>
        <v>88</v>
      </c>
      <c r="E93" s="124">
        <f t="shared" si="6"/>
        <v>14</v>
      </c>
      <c r="F93" s="124">
        <f t="shared" si="7"/>
        <v>3</v>
      </c>
      <c r="G93" s="27"/>
      <c r="H93" s="28" t="str">
        <f>CONCATENATE(SUMIF($E$6:$E93,$E93,$K$6:$K$370)," / ",SUMIF($E$6:$E$370,$E93,$K$6:$K$370))</f>
        <v>0 / 0</v>
      </c>
      <c r="I93" s="28" t="str">
        <f>CONCATENATE(SUMIF($F$6:$F93,$F93,$K$6:$K$370)," / ",SUMIF($F$6:$F$370,$F93,$K$6:$K$370))</f>
        <v>84,195 / 84,195</v>
      </c>
      <c r="J93" s="28" t="str">
        <f>CONCATENATE(SUM($K$6:$K93)," / ",SUM($K$6:$K$370))</f>
        <v>651,895 / 651,895</v>
      </c>
      <c r="K93" s="244">
        <v>0</v>
      </c>
      <c r="L93" s="28"/>
      <c r="M93" s="28" t="str">
        <f>CONCATENATE(SUMIF($E$6:$E93,$E93,$P$6:$P$370)," / ",SUMIF($E$6:$E$370,$E93,$P$6:$P$370))</f>
        <v>0 / 0</v>
      </c>
      <c r="N93" s="28" t="str">
        <f ca="1">CONCATENATE(SUMIF($F$6:$F93,$F93,$P93)," / ",SUMIF($F$6:$F$370,$F93,$P$6:$P$370))</f>
        <v>0 / 0</v>
      </c>
      <c r="O93" s="28" t="str">
        <f>CONCATENATE(SUM($P$6:$P93)," / ",SUM($P$6:$P457))</f>
        <v>528 / 528</v>
      </c>
      <c r="P93" s="244">
        <v>0</v>
      </c>
      <c r="Q93" s="28"/>
      <c r="R93" s="245">
        <v>0</v>
      </c>
      <c r="S93" s="28" t="str">
        <f>CONCATENATE(SUMIF($E$6:$E93,E93,$R$6:$R$370)," / ",SUMIF($E$6:$E$370,E93,$R$6:$R$370))</f>
        <v>0 / 0</v>
      </c>
      <c r="T93" s="28" t="str">
        <f>CONCATENATE(SUMIF($F$6:$F93,$F93,$R$6:$R$370)," / ",SUMIF($F$6:$F$370,$F93,$R$6:$R$370))</f>
        <v>0 / 0</v>
      </c>
      <c r="U93" s="28" t="str">
        <f>CONCATENATE(SUM($R$6:$R93)," / ",SUM($R$6:$R$370))</f>
        <v>0 / 0</v>
      </c>
    </row>
    <row r="94" spans="2:21" ht="13" thickBot="1">
      <c r="B94" s="399">
        <v>42458</v>
      </c>
      <c r="C94" s="35" t="str">
        <f t="shared" si="5"/>
        <v>Mardi</v>
      </c>
      <c r="D94" s="35">
        <f t="shared" si="8"/>
        <v>89</v>
      </c>
      <c r="E94" s="124">
        <f t="shared" si="6"/>
        <v>14</v>
      </c>
      <c r="F94" s="124">
        <f t="shared" si="7"/>
        <v>3</v>
      </c>
      <c r="G94" s="27"/>
      <c r="H94" s="28" t="str">
        <f>CONCATENATE(SUMIF($E$6:$E94,$E94,$K$6:$K$370)," / ",SUMIF($E$6:$E$370,$E94,$K$6:$K$370))</f>
        <v>0 / 0</v>
      </c>
      <c r="I94" s="28" t="str">
        <f>CONCATENATE(SUMIF($F$6:$F94,$F94,$K$6:$K$370)," / ",SUMIF($F$6:$F$370,$F94,$K$6:$K$370))</f>
        <v>84,195 / 84,195</v>
      </c>
      <c r="J94" s="28" t="str">
        <f>CONCATENATE(SUM($K$6:$K94)," / ",SUM($K$6:$K$370))</f>
        <v>651,895 / 651,895</v>
      </c>
      <c r="K94" s="244">
        <v>0</v>
      </c>
      <c r="L94" s="28"/>
      <c r="M94" s="28" t="str">
        <f>CONCATENATE(SUMIF($E$6:$E94,$E94,$P$6:$P$370)," / ",SUMIF($E$6:$E$370,$E94,$P$6:$P$370))</f>
        <v>0 / 0</v>
      </c>
      <c r="N94" s="28" t="str">
        <f ca="1">CONCATENATE(SUMIF($F$6:$F94,$F94,$P94)," / ",SUMIF($F$6:$F$370,$F94,$P$6:$P$370))</f>
        <v>0 / 0</v>
      </c>
      <c r="O94" s="28" t="str">
        <f>CONCATENATE(SUM($P$6:$P94)," / ",SUM($P$6:$P458))</f>
        <v>528 / 528</v>
      </c>
      <c r="P94" s="244">
        <v>0</v>
      </c>
      <c r="Q94" s="28"/>
      <c r="R94" s="245">
        <v>0</v>
      </c>
      <c r="S94" s="28" t="str">
        <f>CONCATENATE(SUMIF($E$6:$E94,E94,$R$6:$R$370)," / ",SUMIF($E$6:$E$370,E94,$R$6:$R$370))</f>
        <v>0 / 0</v>
      </c>
      <c r="T94" s="28" t="str">
        <f>CONCATENATE(SUMIF($F$6:$F94,$F94,$R$6:$R$370)," / ",SUMIF($F$6:$F$370,$F94,$R$6:$R$370))</f>
        <v>0 / 0</v>
      </c>
      <c r="U94" s="28" t="str">
        <f>CONCATENATE(SUM($R$6:$R94)," / ",SUM($R$6:$R$370))</f>
        <v>0 / 0</v>
      </c>
    </row>
    <row r="95" spans="2:21" ht="13" thickBot="1">
      <c r="B95" s="399">
        <v>42459</v>
      </c>
      <c r="C95" s="35" t="str">
        <f t="shared" si="5"/>
        <v>Mercredi</v>
      </c>
      <c r="D95" s="35">
        <f t="shared" si="8"/>
        <v>90</v>
      </c>
      <c r="E95" s="124">
        <f t="shared" si="6"/>
        <v>14</v>
      </c>
      <c r="F95" s="124">
        <f t="shared" si="7"/>
        <v>3</v>
      </c>
      <c r="G95" s="27"/>
      <c r="H95" s="28" t="str">
        <f>CONCATENATE(SUMIF($E$6:$E95,$E95,$K$6:$K$370)," / ",SUMIF($E$6:$E$370,$E95,$K$6:$K$370))</f>
        <v>0 / 0</v>
      </c>
      <c r="I95" s="28" t="str">
        <f>CONCATENATE(SUMIF($F$6:$F95,$F95,$K$6:$K$370)," / ",SUMIF($F$6:$F$370,$F95,$K$6:$K$370))</f>
        <v>84,195 / 84,195</v>
      </c>
      <c r="J95" s="28" t="str">
        <f>CONCATENATE(SUM($K$6:$K95)," / ",SUM($K$6:$K$370))</f>
        <v>651,895 / 651,895</v>
      </c>
      <c r="K95" s="244">
        <v>0</v>
      </c>
      <c r="L95" s="28"/>
      <c r="M95" s="28" t="str">
        <f>CONCATENATE(SUMIF($E$6:$E95,$E95,$P$6:$P$370)," / ",SUMIF($E$6:$E$370,$E95,$P$6:$P$370))</f>
        <v>0 / 0</v>
      </c>
      <c r="N95" s="28" t="str">
        <f ca="1">CONCATENATE(SUMIF($F$6:$F95,$F95,$P95)," / ",SUMIF($F$6:$F$370,$F95,$P$6:$P$370))</f>
        <v>0 / 0</v>
      </c>
      <c r="O95" s="28" t="str">
        <f>CONCATENATE(SUM($P$6:$P95)," / ",SUM($P$6:$P459))</f>
        <v>528 / 528</v>
      </c>
      <c r="P95" s="244">
        <v>0</v>
      </c>
      <c r="Q95" s="28"/>
      <c r="R95" s="245">
        <v>0</v>
      </c>
      <c r="S95" s="28" t="str">
        <f>CONCATENATE(SUMIF($E$6:$E95,E95,$R$6:$R$370)," / ",SUMIF($E$6:$E$370,E95,$R$6:$R$370))</f>
        <v>0 / 0</v>
      </c>
      <c r="T95" s="28" t="str">
        <f>CONCATENATE(SUMIF($F$6:$F95,$F95,$R$6:$R$370)," / ",SUMIF($F$6:$F$370,$F95,$R$6:$R$370))</f>
        <v>0 / 0</v>
      </c>
      <c r="U95" s="28" t="str">
        <f>CONCATENATE(SUM($R$6:$R95)," / ",SUM($R$6:$R$370))</f>
        <v>0 / 0</v>
      </c>
    </row>
    <row r="96" spans="2:21" ht="13" thickBot="1">
      <c r="B96" s="399">
        <v>42460</v>
      </c>
      <c r="C96" s="35" t="str">
        <f t="shared" si="5"/>
        <v>Jeudi</v>
      </c>
      <c r="D96" s="35">
        <f t="shared" si="8"/>
        <v>91</v>
      </c>
      <c r="E96" s="124">
        <f t="shared" si="6"/>
        <v>14</v>
      </c>
      <c r="F96" s="124">
        <f t="shared" si="7"/>
        <v>3</v>
      </c>
      <c r="G96" s="27"/>
      <c r="H96" s="28" t="str">
        <f>CONCATENATE(SUMIF($E$6:$E96,$E96,$K$6:$K$370)," / ",SUMIF($E$6:$E$370,$E96,$K$6:$K$370))</f>
        <v>0 / 0</v>
      </c>
      <c r="I96" s="28" t="str">
        <f>CONCATENATE(SUMIF($F$6:$F96,$F96,$K$6:$K$370)," / ",SUMIF($F$6:$F$370,$F96,$K$6:$K$370))</f>
        <v>84,195 / 84,195</v>
      </c>
      <c r="J96" s="28" t="str">
        <f>CONCATENATE(SUM($K$6:$K96)," / ",SUM($K$6:$K$370))</f>
        <v>651,895 / 651,895</v>
      </c>
      <c r="K96" s="244">
        <v>0</v>
      </c>
      <c r="L96" s="28"/>
      <c r="M96" s="28" t="str">
        <f>CONCATENATE(SUMIF($E$6:$E96,$E96,$P$6:$P$370)," / ",SUMIF($E$6:$E$370,$E96,$P$6:$P$370))</f>
        <v>0 / 0</v>
      </c>
      <c r="N96" s="28" t="str">
        <f ca="1">CONCATENATE(SUMIF($F$6:$F96,$F96,$P96)," / ",SUMIF($F$6:$F$370,$F96,$P$6:$P$370))</f>
        <v>0 / 0</v>
      </c>
      <c r="O96" s="28" t="str">
        <f>CONCATENATE(SUM($P$6:$P96)," / ",SUM($P$6:$P460))</f>
        <v>528 / 528</v>
      </c>
      <c r="P96" s="244">
        <v>0</v>
      </c>
      <c r="Q96" s="28"/>
      <c r="R96" s="245">
        <v>0</v>
      </c>
      <c r="S96" s="28" t="str">
        <f>CONCATENATE(SUMIF($E$6:$E96,E96,$R$6:$R$370)," / ",SUMIF($E$6:$E$370,E96,$R$6:$R$370))</f>
        <v>0 / 0</v>
      </c>
      <c r="T96" s="28" t="str">
        <f>CONCATENATE(SUMIF($F$6:$F96,$F96,$R$6:$R$370)," / ",SUMIF($F$6:$F$370,$F96,$R$6:$R$370))</f>
        <v>0 / 0</v>
      </c>
      <c r="U96" s="28" t="str">
        <f>CONCATENATE(SUM($R$6:$R96)," / ",SUM($R$6:$R$370))</f>
        <v>0 / 0</v>
      </c>
    </row>
    <row r="97" spans="2:21" ht="13" thickBot="1">
      <c r="B97" s="399">
        <v>42461</v>
      </c>
      <c r="C97" s="35" t="str">
        <f t="shared" si="5"/>
        <v>Vendredi</v>
      </c>
      <c r="D97" s="35">
        <f t="shared" si="8"/>
        <v>92</v>
      </c>
      <c r="E97" s="124">
        <f t="shared" si="6"/>
        <v>14</v>
      </c>
      <c r="F97" s="124">
        <f t="shared" si="7"/>
        <v>4</v>
      </c>
      <c r="G97" s="27"/>
      <c r="H97" s="28" t="str">
        <f>CONCATENATE(SUMIF($E$6:$E97,$E97,$K$6:$K$370)," / ",SUMIF($E$6:$E$370,$E97,$K$6:$K$370))</f>
        <v>0 / 0</v>
      </c>
      <c r="I97" s="28" t="str">
        <f>CONCATENATE(SUMIF($F$6:$F97,$F97,$K$6:$K$370)," / ",SUMIF($F$6:$F$370,$F97,$K$6:$K$370))</f>
        <v>0 / 0</v>
      </c>
      <c r="J97" s="28" t="str">
        <f>CONCATENATE(SUM($K$6:$K97)," / ",SUM($K$6:$K$370))</f>
        <v>651,895 / 651,895</v>
      </c>
      <c r="K97" s="244">
        <v>0</v>
      </c>
      <c r="L97" s="28"/>
      <c r="M97" s="28" t="str">
        <f>CONCATENATE(SUMIF($E$6:$E97,$E97,$P$6:$P$370)," / ",SUMIF($E$6:$E$370,$E97,$P$6:$P$370))</f>
        <v>0 / 0</v>
      </c>
      <c r="N97" s="28" t="str">
        <f ca="1">CONCATENATE(SUMIF($F$6:$F97,$F97,$P97)," / ",SUMIF($F$6:$F$370,$F97,$P$6:$P$370))</f>
        <v>0 / 0</v>
      </c>
      <c r="O97" s="28" t="str">
        <f>CONCATENATE(SUM($P$6:$P97)," / ",SUM($P$6:$P461))</f>
        <v>528 / 528</v>
      </c>
      <c r="P97" s="244">
        <v>0</v>
      </c>
      <c r="Q97" s="28"/>
      <c r="R97" s="245">
        <v>0</v>
      </c>
      <c r="S97" s="28" t="str">
        <f>CONCATENATE(SUMIF($E$6:$E97,E97,$R$6:$R$370)," / ",SUMIF($E$6:$E$370,E97,$R$6:$R$370))</f>
        <v>0 / 0</v>
      </c>
      <c r="T97" s="28" t="str">
        <f>CONCATENATE(SUMIF($F$6:$F97,$F97,$R$6:$R$370)," / ",SUMIF($F$6:$F$370,$F97,$R$6:$R$370))</f>
        <v>0 / 0</v>
      </c>
      <c r="U97" s="28" t="str">
        <f>CONCATENATE(SUM($R$6:$R97)," / ",SUM($R$6:$R$370))</f>
        <v>0 / 0</v>
      </c>
    </row>
    <row r="98" spans="2:21" ht="13" thickBot="1">
      <c r="B98" s="399">
        <v>42462</v>
      </c>
      <c r="C98" s="35" t="str">
        <f t="shared" si="5"/>
        <v>Samedi</v>
      </c>
      <c r="D98" s="35">
        <f t="shared" si="8"/>
        <v>93</v>
      </c>
      <c r="E98" s="124">
        <f t="shared" si="6"/>
        <v>14</v>
      </c>
      <c r="F98" s="124">
        <f t="shared" si="7"/>
        <v>4</v>
      </c>
      <c r="G98" s="27"/>
      <c r="H98" s="28" t="str">
        <f>CONCATENATE(SUMIF($E$6:$E98,$E98,$K$6:$K$370)," / ",SUMIF($E$6:$E$370,$E98,$K$6:$K$370))</f>
        <v>0 / 0</v>
      </c>
      <c r="I98" s="28" t="str">
        <f>CONCATENATE(SUMIF($F$6:$F98,$F98,$K$6:$K$370)," / ",SUMIF($F$6:$F$370,$F98,$K$6:$K$370))</f>
        <v>0 / 0</v>
      </c>
      <c r="J98" s="28" t="str">
        <f>CONCATENATE(SUM($K$6:$K98)," / ",SUM($K$6:$K$370))</f>
        <v>651,895 / 651,895</v>
      </c>
      <c r="K98" s="244">
        <v>0</v>
      </c>
      <c r="L98" s="28"/>
      <c r="M98" s="28" t="str">
        <f>CONCATENATE(SUMIF($E$6:$E98,$E98,$P$6:$P$370)," / ",SUMIF($E$6:$E$370,$E98,$P$6:$P$370))</f>
        <v>0 / 0</v>
      </c>
      <c r="N98" s="28" t="str">
        <f ca="1">CONCATENATE(SUMIF($F$6:$F98,$F98,$P98)," / ",SUMIF($F$6:$F$370,$F98,$P$6:$P$370))</f>
        <v>0 / 0</v>
      </c>
      <c r="O98" s="28" t="str">
        <f>CONCATENATE(SUM($P$6:$P98)," / ",SUM($P$6:$P462))</f>
        <v>528 / 528</v>
      </c>
      <c r="P98" s="244">
        <v>0</v>
      </c>
      <c r="Q98" s="28"/>
      <c r="R98" s="245">
        <v>0</v>
      </c>
      <c r="S98" s="28" t="str">
        <f>CONCATENATE(SUMIF($E$6:$E98,E98,$R$6:$R$370)," / ",SUMIF($E$6:$E$370,E98,$R$6:$R$370))</f>
        <v>0 / 0</v>
      </c>
      <c r="T98" s="28" t="str">
        <f>CONCATENATE(SUMIF($F$6:$F98,$F98,$R$6:$R$370)," / ",SUMIF($F$6:$F$370,$F98,$R$6:$R$370))</f>
        <v>0 / 0</v>
      </c>
      <c r="U98" s="28" t="str">
        <f>CONCATENATE(SUM($R$6:$R98)," / ",SUM($R$6:$R$370))</f>
        <v>0 / 0</v>
      </c>
    </row>
    <row r="99" spans="2:21" ht="13" thickBot="1">
      <c r="B99" s="399">
        <v>42463</v>
      </c>
      <c r="C99" s="35" t="str">
        <f t="shared" si="5"/>
        <v>Dimanche</v>
      </c>
      <c r="D99" s="35">
        <f t="shared" si="8"/>
        <v>94</v>
      </c>
      <c r="E99" s="124">
        <f t="shared" si="6"/>
        <v>15</v>
      </c>
      <c r="F99" s="124">
        <f t="shared" si="7"/>
        <v>4</v>
      </c>
      <c r="G99" s="27"/>
      <c r="H99" s="28" t="str">
        <f>CONCATENATE(SUMIF($E$6:$E99,$E99,$K$6:$K$370)," / ",SUMIF($E$6:$E$370,$E99,$K$6:$K$370))</f>
        <v>0 / 0</v>
      </c>
      <c r="I99" s="28" t="str">
        <f>CONCATENATE(SUMIF($F$6:$F99,$F99,$K$6:$K$370)," / ",SUMIF($F$6:$F$370,$F99,$K$6:$K$370))</f>
        <v>0 / 0</v>
      </c>
      <c r="J99" s="28" t="str">
        <f>CONCATENATE(SUM($K$6:$K99)," / ",SUM($K$6:$K$370))</f>
        <v>651,895 / 651,895</v>
      </c>
      <c r="K99" s="244">
        <v>0</v>
      </c>
      <c r="L99" s="28"/>
      <c r="M99" s="28" t="str">
        <f>CONCATENATE(SUMIF($E$6:$E99,$E99,$P$6:$P$370)," / ",SUMIF($E$6:$E$370,$E99,$P$6:$P$370))</f>
        <v>0 / 0</v>
      </c>
      <c r="N99" s="28" t="str">
        <f ca="1">CONCATENATE(SUMIF($F$6:$F99,$F99,$P99)," / ",SUMIF($F$6:$F$370,$F99,$P$6:$P$370))</f>
        <v>0 / 0</v>
      </c>
      <c r="O99" s="28" t="str">
        <f>CONCATENATE(SUM($P$6:$P99)," / ",SUM($P$6:$P463))</f>
        <v>528 / 528</v>
      </c>
      <c r="P99" s="244">
        <v>0</v>
      </c>
      <c r="Q99" s="28"/>
      <c r="R99" s="245">
        <v>0</v>
      </c>
      <c r="S99" s="28" t="str">
        <f>CONCATENATE(SUMIF($E$6:$E99,E99,$R$6:$R$370)," / ",SUMIF($E$6:$E$370,E99,$R$6:$R$370))</f>
        <v>0 / 0</v>
      </c>
      <c r="T99" s="28" t="str">
        <f>CONCATENATE(SUMIF($F$6:$F99,$F99,$R$6:$R$370)," / ",SUMIF($F$6:$F$370,$F99,$R$6:$R$370))</f>
        <v>0 / 0</v>
      </c>
      <c r="U99" s="28" t="str">
        <f>CONCATENATE(SUM($R$6:$R99)," / ",SUM($R$6:$R$370))</f>
        <v>0 / 0</v>
      </c>
    </row>
    <row r="100" spans="2:21" ht="13" thickBot="1">
      <c r="B100" s="399">
        <v>42464</v>
      </c>
      <c r="C100" s="35" t="str">
        <f t="shared" si="5"/>
        <v>Lundi</v>
      </c>
      <c r="D100" s="35">
        <f t="shared" si="8"/>
        <v>95</v>
      </c>
      <c r="E100" s="124">
        <f t="shared" si="6"/>
        <v>15</v>
      </c>
      <c r="F100" s="124">
        <f t="shared" si="7"/>
        <v>4</v>
      </c>
      <c r="G100" s="27"/>
      <c r="H100" s="28" t="str">
        <f>CONCATENATE(SUMIF($E$6:$E100,$E100,$K$6:$K$370)," / ",SUMIF($E$6:$E$370,$E100,$K$6:$K$370))</f>
        <v>0 / 0</v>
      </c>
      <c r="I100" s="28" t="str">
        <f>CONCATENATE(SUMIF($F$6:$F100,$F100,$K$6:$K$370)," / ",SUMIF($F$6:$F$370,$F100,$K$6:$K$370))</f>
        <v>0 / 0</v>
      </c>
      <c r="J100" s="28" t="str">
        <f>CONCATENATE(SUM($K$6:$K100)," / ",SUM($K$6:$K$370))</f>
        <v>651,895 / 651,895</v>
      </c>
      <c r="K100" s="244">
        <v>0</v>
      </c>
      <c r="L100" s="28"/>
      <c r="M100" s="28" t="str">
        <f>CONCATENATE(SUMIF($E$6:$E100,$E100,$P$6:$P$370)," / ",SUMIF($E$6:$E$370,$E100,$P$6:$P$370))</f>
        <v>0 / 0</v>
      </c>
      <c r="N100" s="28" t="str">
        <f ca="1">CONCATENATE(SUMIF($F$6:$F100,$F100,$P100)," / ",SUMIF($F$6:$F$370,$F100,$P$6:$P$370))</f>
        <v>0 / 0</v>
      </c>
      <c r="O100" s="28" t="str">
        <f>CONCATENATE(SUM($P$6:$P100)," / ",SUM($P$6:$P464))</f>
        <v>528 / 528</v>
      </c>
      <c r="P100" s="244">
        <v>0</v>
      </c>
      <c r="Q100" s="28"/>
      <c r="R100" s="245">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399">
        <v>42465</v>
      </c>
      <c r="C101" s="35" t="str">
        <f t="shared" si="5"/>
        <v>Mardi</v>
      </c>
      <c r="D101" s="35">
        <f t="shared" si="8"/>
        <v>96</v>
      </c>
      <c r="E101" s="124">
        <f t="shared" si="6"/>
        <v>15</v>
      </c>
      <c r="F101" s="124">
        <f t="shared" si="7"/>
        <v>4</v>
      </c>
      <c r="G101" s="27"/>
      <c r="H101" s="28" t="str">
        <f>CONCATENATE(SUMIF($E$6:$E101,$E101,$K$6:$K$370)," / ",SUMIF($E$6:$E$370,$E101,$K$6:$K$370))</f>
        <v>0 / 0</v>
      </c>
      <c r="I101" s="28" t="str">
        <f>CONCATENATE(SUMIF($F$6:$F101,$F101,$K$6:$K$370)," / ",SUMIF($F$6:$F$370,$F101,$K$6:$K$370))</f>
        <v>0 / 0</v>
      </c>
      <c r="J101" s="28" t="str">
        <f>CONCATENATE(SUM($K$6:$K101)," / ",SUM($K$6:$K$370))</f>
        <v>651,895 / 651,895</v>
      </c>
      <c r="K101" s="244">
        <v>0</v>
      </c>
      <c r="L101" s="28"/>
      <c r="M101" s="28" t="str">
        <f>CONCATENATE(SUMIF($E$6:$E101,$E101,$P$6:$P$370)," / ",SUMIF($E$6:$E$370,$E101,$P$6:$P$370))</f>
        <v>0 / 0</v>
      </c>
      <c r="N101" s="28" t="str">
        <f ca="1">CONCATENATE(SUMIF($F$6:$F101,$F101,$P101)," / ",SUMIF($F$6:$F$370,$F101,$P$6:$P$370))</f>
        <v>0 / 0</v>
      </c>
      <c r="O101" s="28" t="str">
        <f>CONCATENATE(SUM($P$6:$P101)," / ",SUM($P$6:$P465))</f>
        <v>528 / 528</v>
      </c>
      <c r="P101" s="244">
        <v>0</v>
      </c>
      <c r="Q101" s="28"/>
      <c r="R101" s="245">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399">
        <v>42466</v>
      </c>
      <c r="C102" s="35" t="str">
        <f t="shared" si="5"/>
        <v>Mercredi</v>
      </c>
      <c r="D102" s="35">
        <f t="shared" si="8"/>
        <v>97</v>
      </c>
      <c r="E102" s="124">
        <f t="shared" si="6"/>
        <v>15</v>
      </c>
      <c r="F102" s="124">
        <f t="shared" si="7"/>
        <v>4</v>
      </c>
      <c r="G102" s="27"/>
      <c r="H102" s="28" t="str">
        <f>CONCATENATE(SUMIF($E$6:$E102,$E102,$K$6:$K$370)," / ",SUMIF($E$6:$E$370,$E102,$K$6:$K$370))</f>
        <v>0 / 0</v>
      </c>
      <c r="I102" s="28" t="str">
        <f>CONCATENATE(SUMIF($F$6:$F102,$F102,$K$6:$K$370)," / ",SUMIF($F$6:$F$370,$F102,$K$6:$K$370))</f>
        <v>0 / 0</v>
      </c>
      <c r="J102" s="28" t="str">
        <f>CONCATENATE(SUM($K$6:$K102)," / ",SUM($K$6:$K$370))</f>
        <v>651,895 / 651,895</v>
      </c>
      <c r="K102" s="244">
        <v>0</v>
      </c>
      <c r="L102" s="28"/>
      <c r="M102" s="28" t="str">
        <f>CONCATENATE(SUMIF($E$6:$E102,$E102,$P$6:$P$370)," / ",SUMIF($E$6:$E$370,$E102,$P$6:$P$370))</f>
        <v>0 / 0</v>
      </c>
      <c r="N102" s="28" t="str">
        <f ca="1">CONCATENATE(SUMIF($F$6:$F102,$F102,$P102)," / ",SUMIF($F$6:$F$370,$F102,$P$6:$P$370))</f>
        <v>0 / 0</v>
      </c>
      <c r="O102" s="28" t="str">
        <f>CONCATENATE(SUM($P$6:$P102)," / ",SUM($P$6:$P466))</f>
        <v>528 / 528</v>
      </c>
      <c r="P102" s="244">
        <v>0</v>
      </c>
      <c r="Q102" s="28"/>
      <c r="R102" s="245">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399">
        <v>42467</v>
      </c>
      <c r="C103" s="35" t="str">
        <f t="shared" si="5"/>
        <v>Jeudi</v>
      </c>
      <c r="D103" s="35">
        <f t="shared" si="8"/>
        <v>98</v>
      </c>
      <c r="E103" s="124">
        <f t="shared" si="6"/>
        <v>15</v>
      </c>
      <c r="F103" s="124">
        <f t="shared" si="7"/>
        <v>4</v>
      </c>
      <c r="G103" s="27"/>
      <c r="H103" s="28" t="str">
        <f>CONCATENATE(SUMIF($E$6:$E103,$E103,$K$6:$K$370)," / ",SUMIF($E$6:$E$370,$E103,$K$6:$K$370))</f>
        <v>0 / 0</v>
      </c>
      <c r="I103" s="28" t="str">
        <f>CONCATENATE(SUMIF($F$6:$F103,$F103,$K$6:$K$370)," / ",SUMIF($F$6:$F$370,$F103,$K$6:$K$370))</f>
        <v>0 / 0</v>
      </c>
      <c r="J103" s="28" t="str">
        <f>CONCATENATE(SUM($K$6:$K103)," / ",SUM($K$6:$K$370))</f>
        <v>651,895 / 651,895</v>
      </c>
      <c r="K103" s="244">
        <v>0</v>
      </c>
      <c r="L103" s="28"/>
      <c r="M103" s="28" t="str">
        <f>CONCATENATE(SUMIF($E$6:$E103,$E103,$P$6:$P$370)," / ",SUMIF($E$6:$E$370,$E103,$P$6:$P$370))</f>
        <v>0 / 0</v>
      </c>
      <c r="N103" s="28" t="str">
        <f ca="1">CONCATENATE(SUMIF($F$6:$F103,$F103,$P103)," / ",SUMIF($F$6:$F$370,$F103,$P$6:$P$370))</f>
        <v>0 / 0</v>
      </c>
      <c r="O103" s="28" t="str">
        <f>CONCATENATE(SUM($P$6:$P103)," / ",SUM($P$6:$P467))</f>
        <v>528 / 528</v>
      </c>
      <c r="P103" s="244">
        <v>0</v>
      </c>
      <c r="Q103" s="28"/>
      <c r="R103" s="245">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399">
        <v>42468</v>
      </c>
      <c r="C104" s="35" t="str">
        <f t="shared" si="5"/>
        <v>Vendredi</v>
      </c>
      <c r="D104" s="35">
        <f t="shared" si="8"/>
        <v>99</v>
      </c>
      <c r="E104" s="124">
        <f t="shared" si="6"/>
        <v>15</v>
      </c>
      <c r="F104" s="124">
        <f t="shared" si="7"/>
        <v>4</v>
      </c>
      <c r="G104" s="27"/>
      <c r="H104" s="28" t="str">
        <f>CONCATENATE(SUMIF($E$6:$E104,$E104,$K$6:$K$370)," / ",SUMIF($E$6:$E$370,$E104,$K$6:$K$370))</f>
        <v>0 / 0</v>
      </c>
      <c r="I104" s="28" t="str">
        <f>CONCATENATE(SUMIF($F$6:$F104,$F104,$K$6:$K$370)," / ",SUMIF($F$6:$F$370,$F104,$K$6:$K$370))</f>
        <v>0 / 0</v>
      </c>
      <c r="J104" s="28" t="str">
        <f>CONCATENATE(SUM($K$6:$K104)," / ",SUM($K$6:$K$370))</f>
        <v>651,895 / 651,895</v>
      </c>
      <c r="K104" s="244">
        <v>0</v>
      </c>
      <c r="L104" s="28"/>
      <c r="M104" s="28" t="str">
        <f>CONCATENATE(SUMIF($E$6:$E104,$E104,$P$6:$P$370)," / ",SUMIF($E$6:$E$370,$E104,$P$6:$P$370))</f>
        <v>0 / 0</v>
      </c>
      <c r="N104" s="28" t="str">
        <f ca="1">CONCATENATE(SUMIF($F$6:$F104,$F104,$P104)," / ",SUMIF($F$6:$F$370,$F104,$P$6:$P$370))</f>
        <v>0 / 0</v>
      </c>
      <c r="O104" s="28" t="str">
        <f>CONCATENATE(SUM($P$6:$P104)," / ",SUM($P$6:$P468))</f>
        <v>528 / 528</v>
      </c>
      <c r="P104" s="244">
        <v>0</v>
      </c>
      <c r="Q104" s="28"/>
      <c r="R104" s="245">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399">
        <v>42469</v>
      </c>
      <c r="C105" s="35" t="str">
        <f t="shared" si="5"/>
        <v>Samedi</v>
      </c>
      <c r="D105" s="35">
        <f t="shared" si="8"/>
        <v>100</v>
      </c>
      <c r="E105" s="124">
        <f t="shared" si="6"/>
        <v>15</v>
      </c>
      <c r="F105" s="124">
        <f t="shared" si="7"/>
        <v>4</v>
      </c>
      <c r="G105" s="27"/>
      <c r="H105" s="28" t="str">
        <f>CONCATENATE(SUMIF($E$6:$E105,$E105,$K$6:$K$370)," / ",SUMIF($E$6:$E$370,$E105,$K$6:$K$370))</f>
        <v>0 / 0</v>
      </c>
      <c r="I105" s="28" t="str">
        <f>CONCATENATE(SUMIF($F$6:$F105,$F105,$K$6:$K$370)," / ",SUMIF($F$6:$F$370,$F105,$K$6:$K$370))</f>
        <v>0 / 0</v>
      </c>
      <c r="J105" s="28" t="str">
        <f>CONCATENATE(SUM($K$6:$K105)," / ",SUM($K$6:$K$370))</f>
        <v>651,895 / 651,895</v>
      </c>
      <c r="K105" s="244">
        <v>0</v>
      </c>
      <c r="L105" s="28"/>
      <c r="M105" s="28" t="str">
        <f>CONCATENATE(SUMIF($E$6:$E105,$E105,$P$6:$P$370)," / ",SUMIF($E$6:$E$370,$E105,$P$6:$P$370))</f>
        <v>0 / 0</v>
      </c>
      <c r="N105" s="28" t="str">
        <f ca="1">CONCATENATE(SUMIF($F$6:$F105,$F105,$P105)," / ",SUMIF($F$6:$F$370,$F105,$P$6:$P$370))</f>
        <v>0 / 0</v>
      </c>
      <c r="O105" s="28" t="str">
        <f>CONCATENATE(SUM($P$6:$P105)," / ",SUM($P$6:$P469))</f>
        <v>528 / 528</v>
      </c>
      <c r="P105" s="244">
        <v>0</v>
      </c>
      <c r="Q105" s="28"/>
      <c r="R105" s="245">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399">
        <v>42470</v>
      </c>
      <c r="C106" s="35" t="str">
        <f t="shared" si="5"/>
        <v>Dimanche</v>
      </c>
      <c r="D106" s="35">
        <f t="shared" si="8"/>
        <v>101</v>
      </c>
      <c r="E106" s="193">
        <f t="shared" si="6"/>
        <v>16</v>
      </c>
      <c r="F106" s="193">
        <f t="shared" si="7"/>
        <v>4</v>
      </c>
      <c r="G106" s="195" t="s">
        <v>673</v>
      </c>
      <c r="H106" s="28" t="str">
        <f>CONCATENATE(SUMIF($E$6:$E106,$E106,$K$6:$K$370)," / ",SUMIF($E$6:$E$370,$E106,$K$6:$K$370))</f>
        <v>0 / 0</v>
      </c>
      <c r="I106" s="28" t="str">
        <f>CONCATENATE(SUMIF($F$6:$F106,$F106,$K$6:$K$370)," / ",SUMIF($F$6:$F$370,$F106,$K$6:$K$370))</f>
        <v>0 / 0</v>
      </c>
      <c r="J106" s="28" t="str">
        <f>CONCATENATE(SUM($K$6:$K106)," / ",SUM($K$6:$K$370))</f>
        <v>651,895 / 651,895</v>
      </c>
      <c r="K106" s="244">
        <v>0</v>
      </c>
      <c r="L106" s="28"/>
      <c r="M106" s="28" t="str">
        <f>CONCATENATE(SUMIF($E$6:$E106,$E106,$P$6:$P$370)," / ",SUMIF($E$6:$E$370,$E106,$P$6:$P$370))</f>
        <v>0 / 0</v>
      </c>
      <c r="N106" s="28" t="str">
        <f ca="1">CONCATENATE(SUMIF($F$6:$F106,$F106,$P106)," / ",SUMIF($F$6:$F$370,$F106,$P$6:$P$370))</f>
        <v>0 / 0</v>
      </c>
      <c r="O106" s="28" t="str">
        <f>CONCATENATE(SUM($P$6:$P106)," / ",SUM($P$6:$P470))</f>
        <v>528 / 528</v>
      </c>
      <c r="P106" s="244">
        <v>0</v>
      </c>
      <c r="Q106" s="28"/>
      <c r="R106" s="245">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399">
        <v>42471</v>
      </c>
      <c r="C107" s="35" t="str">
        <f t="shared" si="5"/>
        <v>Lundi</v>
      </c>
      <c r="D107" s="35">
        <f t="shared" si="8"/>
        <v>102</v>
      </c>
      <c r="E107" s="124">
        <f t="shared" si="6"/>
        <v>16</v>
      </c>
      <c r="F107" s="124">
        <f t="shared" si="7"/>
        <v>4</v>
      </c>
      <c r="G107" s="27"/>
      <c r="H107" s="28" t="str">
        <f>CONCATENATE(SUMIF($E$6:$E107,$E107,$K$6:$K$370)," / ",SUMIF($E$6:$E$370,$E107,$K$6:$K$370))</f>
        <v>0 / 0</v>
      </c>
      <c r="I107" s="28" t="str">
        <f>CONCATENATE(SUMIF($F$6:$F107,$F107,$K$6:$K$370)," / ",SUMIF($F$6:$F$370,$F107,$K$6:$K$370))</f>
        <v>0 / 0</v>
      </c>
      <c r="J107" s="28" t="str">
        <f>CONCATENATE(SUM($K$6:$K107)," / ",SUM($K$6:$K$370))</f>
        <v>651,895 / 651,895</v>
      </c>
      <c r="K107" s="244">
        <v>0</v>
      </c>
      <c r="L107" s="28"/>
      <c r="M107" s="28" t="str">
        <f>CONCATENATE(SUMIF($E$6:$E107,$E107,$P$6:$P$370)," / ",SUMIF($E$6:$E$370,$E107,$P$6:$P$370))</f>
        <v>0 / 0</v>
      </c>
      <c r="N107" s="28" t="str">
        <f ca="1">CONCATENATE(SUMIF($F$6:$F107,$F107,$P107)," / ",SUMIF($F$6:$F$370,$F107,$P$6:$P$370))</f>
        <v>0 / 0</v>
      </c>
      <c r="O107" s="28" t="str">
        <f>CONCATENATE(SUM($P$6:$P107)," / ",SUM($P$6:$P471))</f>
        <v>528 / 528</v>
      </c>
      <c r="P107" s="244">
        <v>0</v>
      </c>
      <c r="Q107" s="28"/>
      <c r="R107" s="245">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399">
        <v>42472</v>
      </c>
      <c r="C108" s="35" t="str">
        <f t="shared" si="5"/>
        <v>Mardi</v>
      </c>
      <c r="D108" s="35">
        <f t="shared" si="8"/>
        <v>103</v>
      </c>
      <c r="E108" s="124">
        <f t="shared" si="6"/>
        <v>16</v>
      </c>
      <c r="F108" s="124">
        <f t="shared" si="7"/>
        <v>4</v>
      </c>
      <c r="G108" s="27"/>
      <c r="H108" s="28" t="str">
        <f>CONCATENATE(SUMIF($E$6:$E108,$E108,$K$6:$K$370)," / ",SUMIF($E$6:$E$370,$E108,$K$6:$K$370))</f>
        <v>0 / 0</v>
      </c>
      <c r="I108" s="28" t="str">
        <f>CONCATENATE(SUMIF($F$6:$F108,$F108,$K$6:$K$370)," / ",SUMIF($F$6:$F$370,$F108,$K$6:$K$370))</f>
        <v>0 / 0</v>
      </c>
      <c r="J108" s="28" t="str">
        <f>CONCATENATE(SUM($K$6:$K108)," / ",SUM($K$6:$K$370))</f>
        <v>651,895 / 651,895</v>
      </c>
      <c r="K108" s="244">
        <v>0</v>
      </c>
      <c r="L108" s="28"/>
      <c r="M108" s="28" t="str">
        <f>CONCATENATE(SUMIF($E$6:$E108,$E108,$P$6:$P$370)," / ",SUMIF($E$6:$E$370,$E108,$P$6:$P$370))</f>
        <v>0 / 0</v>
      </c>
      <c r="N108" s="28" t="str">
        <f ca="1">CONCATENATE(SUMIF($F$6:$F108,$F108,$P108)," / ",SUMIF($F$6:$F$370,$F108,$P$6:$P$370))</f>
        <v>0 / 0</v>
      </c>
      <c r="O108" s="28" t="str">
        <f>CONCATENATE(SUM($P$6:$P108)," / ",SUM($P$6:$P472))</f>
        <v>528 / 528</v>
      </c>
      <c r="P108" s="244">
        <v>0</v>
      </c>
      <c r="Q108" s="28"/>
      <c r="R108" s="245">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399">
        <v>42473</v>
      </c>
      <c r="C109" s="35" t="str">
        <f t="shared" si="5"/>
        <v>Mercredi</v>
      </c>
      <c r="D109" s="35">
        <f t="shared" si="8"/>
        <v>104</v>
      </c>
      <c r="E109" s="124">
        <f t="shared" si="6"/>
        <v>16</v>
      </c>
      <c r="F109" s="124">
        <f t="shared" si="7"/>
        <v>4</v>
      </c>
      <c r="G109" s="27"/>
      <c r="H109" s="28" t="str">
        <f>CONCATENATE(SUMIF($E$6:$E109,$E109,$K$6:$K$370)," / ",SUMIF($E$6:$E$370,$E109,$K$6:$K$370))</f>
        <v>0 / 0</v>
      </c>
      <c r="I109" s="28" t="str">
        <f>CONCATENATE(SUMIF($F$6:$F109,$F109,$K$6:$K$370)," / ",SUMIF($F$6:$F$370,$F109,$K$6:$K$370))</f>
        <v>0 / 0</v>
      </c>
      <c r="J109" s="28" t="str">
        <f>CONCATENATE(SUM($K$6:$K109)," / ",SUM($K$6:$K$370))</f>
        <v>651,895 / 651,895</v>
      </c>
      <c r="K109" s="244">
        <v>0</v>
      </c>
      <c r="L109" s="28"/>
      <c r="M109" s="28" t="str">
        <f>CONCATENATE(SUMIF($E$6:$E109,$E109,$P$6:$P$370)," / ",SUMIF($E$6:$E$370,$E109,$P$6:$P$370))</f>
        <v>0 / 0</v>
      </c>
      <c r="N109" s="28" t="str">
        <f ca="1">CONCATENATE(SUMIF($F$6:$F109,$F109,$P109)," / ",SUMIF($F$6:$F$370,$F109,$P$6:$P$370))</f>
        <v>0 / 0</v>
      </c>
      <c r="O109" s="28" t="str">
        <f>CONCATENATE(SUM($P$6:$P109)," / ",SUM($P$6:$P473))</f>
        <v>528 / 528</v>
      </c>
      <c r="P109" s="244">
        <v>0</v>
      </c>
      <c r="Q109" s="28"/>
      <c r="R109" s="245">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399">
        <v>42474</v>
      </c>
      <c r="C110" s="35" t="str">
        <f t="shared" si="5"/>
        <v>Jeudi</v>
      </c>
      <c r="D110" s="35">
        <f t="shared" si="8"/>
        <v>105</v>
      </c>
      <c r="E110" s="124">
        <f t="shared" si="6"/>
        <v>16</v>
      </c>
      <c r="F110" s="124">
        <f t="shared" si="7"/>
        <v>4</v>
      </c>
      <c r="G110" s="27"/>
      <c r="H110" s="28" t="str">
        <f>CONCATENATE(SUMIF($E$6:$E110,$E110,$K$6:$K$370)," / ",SUMIF($E$6:$E$370,$E110,$K$6:$K$370))</f>
        <v>0 / 0</v>
      </c>
      <c r="I110" s="28" t="str">
        <f>CONCATENATE(SUMIF($F$6:$F110,$F110,$K$6:$K$370)," / ",SUMIF($F$6:$F$370,$F110,$K$6:$K$370))</f>
        <v>0 / 0</v>
      </c>
      <c r="J110" s="28" t="str">
        <f>CONCATENATE(SUM($K$6:$K110)," / ",SUM($K$6:$K$370))</f>
        <v>651,895 / 651,895</v>
      </c>
      <c r="K110" s="244">
        <v>0</v>
      </c>
      <c r="L110" s="28"/>
      <c r="M110" s="28" t="str">
        <f>CONCATENATE(SUMIF($E$6:$E110,$E110,$P$6:$P$370)," / ",SUMIF($E$6:$E$370,$E110,$P$6:$P$370))</f>
        <v>0 / 0</v>
      </c>
      <c r="N110" s="28" t="str">
        <f ca="1">CONCATENATE(SUMIF($F$6:$F110,$F110,$P110)," / ",SUMIF($F$6:$F$370,$F110,$P$6:$P$370))</f>
        <v>0 / 0</v>
      </c>
      <c r="O110" s="28" t="str">
        <f>CONCATENATE(SUM($P$6:$P110)," / ",SUM($P$6:$P474))</f>
        <v>528 / 528</v>
      </c>
      <c r="P110" s="244">
        <v>0</v>
      </c>
      <c r="Q110" s="28"/>
      <c r="R110" s="245">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399">
        <v>42475</v>
      </c>
      <c r="C111" s="35" t="str">
        <f t="shared" si="5"/>
        <v>Vendredi</v>
      </c>
      <c r="D111" s="35">
        <f t="shared" si="8"/>
        <v>106</v>
      </c>
      <c r="E111" s="124">
        <f t="shared" si="6"/>
        <v>16</v>
      </c>
      <c r="F111" s="124">
        <f t="shared" si="7"/>
        <v>4</v>
      </c>
      <c r="G111" s="27"/>
      <c r="H111" s="28" t="str">
        <f>CONCATENATE(SUMIF($E$6:$E111,$E111,$K$6:$K$370)," / ",SUMIF($E$6:$E$370,$E111,$K$6:$K$370))</f>
        <v>0 / 0</v>
      </c>
      <c r="I111" s="28" t="str">
        <f>CONCATENATE(SUMIF($F$6:$F111,$F111,$K$6:$K$370)," / ",SUMIF($F$6:$F$370,$F111,$K$6:$K$370))</f>
        <v>0 / 0</v>
      </c>
      <c r="J111" s="28" t="str">
        <f>CONCATENATE(SUM($K$6:$K111)," / ",SUM($K$6:$K$370))</f>
        <v>651,895 / 651,895</v>
      </c>
      <c r="K111" s="244">
        <v>0</v>
      </c>
      <c r="L111" s="28"/>
      <c r="M111" s="28" t="str">
        <f>CONCATENATE(SUMIF($E$6:$E111,$E111,$P$6:$P$370)," / ",SUMIF($E$6:$E$370,$E111,$P$6:$P$370))</f>
        <v>0 / 0</v>
      </c>
      <c r="N111" s="28" t="str">
        <f ca="1">CONCATENATE(SUMIF($F$6:$F111,$F111,$P111)," / ",SUMIF($F$6:$F$370,$F111,$P$6:$P$370))</f>
        <v>0 / 0</v>
      </c>
      <c r="O111" s="28" t="str">
        <f>CONCATENATE(SUM($P$6:$P111)," / ",SUM($P$6:$P475))</f>
        <v>528 / 528</v>
      </c>
      <c r="P111" s="244">
        <v>0</v>
      </c>
      <c r="Q111" s="28"/>
      <c r="R111" s="245">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399">
        <v>42476</v>
      </c>
      <c r="C112" s="35" t="str">
        <f t="shared" si="5"/>
        <v>Samedi</v>
      </c>
      <c r="D112" s="35">
        <f t="shared" si="8"/>
        <v>107</v>
      </c>
      <c r="E112" s="124">
        <f t="shared" si="6"/>
        <v>16</v>
      </c>
      <c r="F112" s="124">
        <f t="shared" si="7"/>
        <v>4</v>
      </c>
      <c r="G112" s="27"/>
      <c r="H112" s="28" t="str">
        <f>CONCATENATE(SUMIF($E$6:$E112,$E112,$K$6:$K$370)," / ",SUMIF($E$6:$E$370,$E112,$K$6:$K$370))</f>
        <v>0 / 0</v>
      </c>
      <c r="I112" s="28" t="str">
        <f>CONCATENATE(SUMIF($F$6:$F112,$F112,$K$6:$K$370)," / ",SUMIF($F$6:$F$370,$F112,$K$6:$K$370))</f>
        <v>0 / 0</v>
      </c>
      <c r="J112" s="28" t="str">
        <f>CONCATENATE(SUM($K$6:$K112)," / ",SUM($K$6:$K$370))</f>
        <v>651,895 / 651,895</v>
      </c>
      <c r="K112" s="244">
        <v>0</v>
      </c>
      <c r="L112" s="28"/>
      <c r="M112" s="28" t="str">
        <f>CONCATENATE(SUMIF($E$6:$E112,$E112,$P$6:$P$370)," / ",SUMIF($E$6:$E$370,$E112,$P$6:$P$370))</f>
        <v>0 / 0</v>
      </c>
      <c r="N112" s="28" t="str">
        <f ca="1">CONCATENATE(SUMIF($F$6:$F112,$F112,$P112)," / ",SUMIF($F$6:$F$370,$F112,$P$6:$P$370))</f>
        <v>0 / 0</v>
      </c>
      <c r="O112" s="28" t="str">
        <f>CONCATENATE(SUM($P$6:$P112)," / ",SUM($P$6:$P476))</f>
        <v>528 / 528</v>
      </c>
      <c r="P112" s="244">
        <v>0</v>
      </c>
      <c r="Q112" s="28"/>
      <c r="R112" s="245">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399">
        <v>42477</v>
      </c>
      <c r="C113" s="35" t="str">
        <f t="shared" si="5"/>
        <v>Dimanche</v>
      </c>
      <c r="D113" s="35">
        <f t="shared" si="8"/>
        <v>108</v>
      </c>
      <c r="E113" s="124">
        <f t="shared" si="6"/>
        <v>17</v>
      </c>
      <c r="F113" s="124">
        <f t="shared" si="7"/>
        <v>4</v>
      </c>
      <c r="G113" s="27"/>
      <c r="H113" s="28" t="str">
        <f>CONCATENATE(SUMIF($E$6:$E113,$E113,$K$6:$K$370)," / ",SUMIF($E$6:$E$370,$E113,$K$6:$K$370))</f>
        <v>0 / 0</v>
      </c>
      <c r="I113" s="28" t="str">
        <f>CONCATENATE(SUMIF($F$6:$F113,$F113,$K$6:$K$370)," / ",SUMIF($F$6:$F$370,$F113,$K$6:$K$370))</f>
        <v>0 / 0</v>
      </c>
      <c r="J113" s="28" t="str">
        <f>CONCATENATE(SUM($K$6:$K113)," / ",SUM($K$6:$K$370))</f>
        <v>651,895 / 651,895</v>
      </c>
      <c r="K113" s="244">
        <v>0</v>
      </c>
      <c r="L113" s="28"/>
      <c r="M113" s="28" t="str">
        <f>CONCATENATE(SUMIF($E$6:$E113,$E113,$P$6:$P$370)," / ",SUMIF($E$6:$E$370,$E113,$P$6:$P$370))</f>
        <v>0 / 0</v>
      </c>
      <c r="N113" s="28" t="str">
        <f ca="1">CONCATENATE(SUMIF($F$6:$F113,$F113,$P113)," / ",SUMIF($F$6:$F$370,$F113,$P$6:$P$370))</f>
        <v>0 / 0</v>
      </c>
      <c r="O113" s="28" t="str">
        <f>CONCATENATE(SUM($P$6:$P113)," / ",SUM($P$6:$P477))</f>
        <v>528 / 528</v>
      </c>
      <c r="P113" s="244">
        <v>0</v>
      </c>
      <c r="Q113" s="28"/>
      <c r="R113" s="245">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399">
        <v>42478</v>
      </c>
      <c r="C114" s="35" t="str">
        <f t="shared" si="5"/>
        <v>Lundi</v>
      </c>
      <c r="D114" s="35">
        <f t="shared" si="8"/>
        <v>109</v>
      </c>
      <c r="E114" s="124">
        <f t="shared" si="6"/>
        <v>17</v>
      </c>
      <c r="F114" s="124">
        <f t="shared" si="7"/>
        <v>4</v>
      </c>
      <c r="G114" s="27"/>
      <c r="H114" s="28" t="str">
        <f>CONCATENATE(SUMIF($E$6:$E114,$E114,$K$6:$K$370)," / ",SUMIF($E$6:$E$370,$E114,$K$6:$K$370))</f>
        <v>0 / 0</v>
      </c>
      <c r="I114" s="28" t="str">
        <f>CONCATENATE(SUMIF($F$6:$F114,$F114,$K$6:$K$370)," / ",SUMIF($F$6:$F$370,$F114,$K$6:$K$370))</f>
        <v>0 / 0</v>
      </c>
      <c r="J114" s="28" t="str">
        <f>CONCATENATE(SUM($K$6:$K114)," / ",SUM($K$6:$K$370))</f>
        <v>651,895 / 651,895</v>
      </c>
      <c r="K114" s="244">
        <v>0</v>
      </c>
      <c r="L114" s="28"/>
      <c r="M114" s="28" t="str">
        <f>CONCATENATE(SUMIF($E$6:$E114,$E114,$P$6:$P$370)," / ",SUMIF($E$6:$E$370,$E114,$P$6:$P$370))</f>
        <v>0 / 0</v>
      </c>
      <c r="N114" s="28" t="str">
        <f ca="1">CONCATENATE(SUMIF($F$6:$F114,$F114,$P114)," / ",SUMIF($F$6:$F$370,$F114,$P$6:$P$370))</f>
        <v>0 / 0</v>
      </c>
      <c r="O114" s="28" t="str">
        <f>CONCATENATE(SUM($P$6:$P114)," / ",SUM($P$6:$P478))</f>
        <v>528 / 528</v>
      </c>
      <c r="P114" s="244">
        <v>0</v>
      </c>
      <c r="Q114" s="28"/>
      <c r="R114" s="245">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399">
        <v>42479</v>
      </c>
      <c r="C115" s="35" t="str">
        <f t="shared" si="5"/>
        <v>Mardi</v>
      </c>
      <c r="D115" s="35">
        <f t="shared" si="8"/>
        <v>110</v>
      </c>
      <c r="E115" s="124">
        <f t="shared" si="6"/>
        <v>17</v>
      </c>
      <c r="F115" s="124">
        <f t="shared" si="7"/>
        <v>4</v>
      </c>
      <c r="G115" s="27"/>
      <c r="H115" s="28" t="str">
        <f>CONCATENATE(SUMIF($E$6:$E115,$E115,$K$6:$K$370)," / ",SUMIF($E$6:$E$370,$E115,$K$6:$K$370))</f>
        <v>0 / 0</v>
      </c>
      <c r="I115" s="28" t="str">
        <f>CONCATENATE(SUMIF($F$6:$F115,$F115,$K$6:$K$370)," / ",SUMIF($F$6:$F$370,$F115,$K$6:$K$370))</f>
        <v>0 / 0</v>
      </c>
      <c r="J115" s="28" t="str">
        <f>CONCATENATE(SUM($K$6:$K115)," / ",SUM($K$6:$K$370))</f>
        <v>651,895 / 651,895</v>
      </c>
      <c r="K115" s="244">
        <v>0</v>
      </c>
      <c r="L115" s="28"/>
      <c r="M115" s="28" t="str">
        <f>CONCATENATE(SUMIF($E$6:$E115,$E115,$P$6:$P$370)," / ",SUMIF($E$6:$E$370,$E115,$P$6:$P$370))</f>
        <v>0 / 0</v>
      </c>
      <c r="N115" s="28" t="str">
        <f ca="1">CONCATENATE(SUMIF($F$6:$F115,$F115,$P115)," / ",SUMIF($F$6:$F$370,$F115,$P$6:$P$370))</f>
        <v>0 / 0</v>
      </c>
      <c r="O115" s="28" t="str">
        <f>CONCATENATE(SUM($P$6:$P115)," / ",SUM($P$6:$P479))</f>
        <v>528 / 528</v>
      </c>
      <c r="P115" s="244">
        <v>0</v>
      </c>
      <c r="Q115" s="28"/>
      <c r="R115" s="245">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399">
        <v>42480</v>
      </c>
      <c r="C116" s="35" t="str">
        <f t="shared" si="5"/>
        <v>Mercredi</v>
      </c>
      <c r="D116" s="35">
        <f t="shared" si="8"/>
        <v>111</v>
      </c>
      <c r="E116" s="124">
        <f t="shared" si="6"/>
        <v>17</v>
      </c>
      <c r="F116" s="124">
        <f t="shared" si="7"/>
        <v>4</v>
      </c>
      <c r="G116" s="27"/>
      <c r="H116" s="28" t="str">
        <f>CONCATENATE(SUMIF($E$6:$E116,$E116,$K$6:$K$370)," / ",SUMIF($E$6:$E$370,$E116,$K$6:$K$370))</f>
        <v>0 / 0</v>
      </c>
      <c r="I116" s="28" t="str">
        <f>CONCATENATE(SUMIF($F$6:$F116,$F116,$K$6:$K$370)," / ",SUMIF($F$6:$F$370,$F116,$K$6:$K$370))</f>
        <v>0 / 0</v>
      </c>
      <c r="J116" s="28" t="str">
        <f>CONCATENATE(SUM($K$6:$K116)," / ",SUM($K$6:$K$370))</f>
        <v>651,895 / 651,895</v>
      </c>
      <c r="K116" s="244">
        <v>0</v>
      </c>
      <c r="L116" s="28"/>
      <c r="M116" s="28" t="str">
        <f>CONCATENATE(SUMIF($E$6:$E116,$E116,$P$6:$P$370)," / ",SUMIF($E$6:$E$370,$E116,$P$6:$P$370))</f>
        <v>0 / 0</v>
      </c>
      <c r="N116" s="28" t="str">
        <f ca="1">CONCATENATE(SUMIF($F$6:$F116,$F116,$P116)," / ",SUMIF($F$6:$F$370,$F116,$P$6:$P$370))</f>
        <v>0 / 0</v>
      </c>
      <c r="O116" s="28" t="str">
        <f>CONCATENATE(SUM($P$6:$P116)," / ",SUM($P$6:$P480))</f>
        <v>528 / 528</v>
      </c>
      <c r="P116" s="244">
        <v>0</v>
      </c>
      <c r="Q116" s="28"/>
      <c r="R116" s="245">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399">
        <v>42481</v>
      </c>
      <c r="C117" s="35" t="str">
        <f t="shared" si="5"/>
        <v>Jeudi</v>
      </c>
      <c r="D117" s="35">
        <f t="shared" si="8"/>
        <v>112</v>
      </c>
      <c r="E117" s="124">
        <f t="shared" si="6"/>
        <v>17</v>
      </c>
      <c r="F117" s="124">
        <f t="shared" si="7"/>
        <v>4</v>
      </c>
      <c r="G117" s="27"/>
      <c r="H117" s="28" t="str">
        <f>CONCATENATE(SUMIF($E$6:$E117,$E117,$K$6:$K$370)," / ",SUMIF($E$6:$E$370,$E117,$K$6:$K$370))</f>
        <v>0 / 0</v>
      </c>
      <c r="I117" s="28" t="str">
        <f>CONCATENATE(SUMIF($F$6:$F117,$F117,$K$6:$K$370)," / ",SUMIF($F$6:$F$370,$F117,$K$6:$K$370))</f>
        <v>0 / 0</v>
      </c>
      <c r="J117" s="28" t="str">
        <f>CONCATENATE(SUM($K$6:$K117)," / ",SUM($K$6:$K$370))</f>
        <v>651,895 / 651,895</v>
      </c>
      <c r="K117" s="244">
        <v>0</v>
      </c>
      <c r="L117" s="28"/>
      <c r="M117" s="28" t="str">
        <f>CONCATENATE(SUMIF($E$6:$E117,$E117,$P$6:$P$370)," / ",SUMIF($E$6:$E$370,$E117,$P$6:$P$370))</f>
        <v>0 / 0</v>
      </c>
      <c r="N117" s="28" t="str">
        <f ca="1">CONCATENATE(SUMIF($F$6:$F117,$F117,$P117)," / ",SUMIF($F$6:$F$370,$F117,$P$6:$P$370))</f>
        <v>0 / 0</v>
      </c>
      <c r="O117" s="28" t="str">
        <f>CONCATENATE(SUM($P$6:$P117)," / ",SUM($P$6:$P481))</f>
        <v>528 / 528</v>
      </c>
      <c r="P117" s="244">
        <v>0</v>
      </c>
      <c r="Q117" s="28"/>
      <c r="R117" s="245">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399">
        <v>42482</v>
      </c>
      <c r="C118" s="35" t="str">
        <f t="shared" si="5"/>
        <v>Vendredi</v>
      </c>
      <c r="D118" s="35">
        <f t="shared" si="8"/>
        <v>113</v>
      </c>
      <c r="E118" s="124">
        <f t="shared" si="6"/>
        <v>17</v>
      </c>
      <c r="F118" s="124">
        <f t="shared" si="7"/>
        <v>4</v>
      </c>
      <c r="G118" s="27"/>
      <c r="H118" s="28" t="str">
        <f>CONCATENATE(SUMIF($E$6:$E118,$E118,$K$6:$K$370)," / ",SUMIF($E$6:$E$370,$E118,$K$6:$K$370))</f>
        <v>0 / 0</v>
      </c>
      <c r="I118" s="28" t="str">
        <f>CONCATENATE(SUMIF($F$6:$F118,$F118,$K$6:$K$370)," / ",SUMIF($F$6:$F$370,$F118,$K$6:$K$370))</f>
        <v>0 / 0</v>
      </c>
      <c r="J118" s="28" t="str">
        <f>CONCATENATE(SUM($K$6:$K118)," / ",SUM($K$6:$K$370))</f>
        <v>651,895 / 651,895</v>
      </c>
      <c r="K118" s="244">
        <v>0</v>
      </c>
      <c r="L118" s="28"/>
      <c r="M118" s="28" t="str">
        <f>CONCATENATE(SUMIF($E$6:$E118,$E118,$P$6:$P$370)," / ",SUMIF($E$6:$E$370,$E118,$P$6:$P$370))</f>
        <v>0 / 0</v>
      </c>
      <c r="N118" s="28" t="str">
        <f ca="1">CONCATENATE(SUMIF($F$6:$F118,$F118,$P118)," / ",SUMIF($F$6:$F$370,$F118,$P$6:$P$370))</f>
        <v>0 / 0</v>
      </c>
      <c r="O118" s="28" t="str">
        <f>CONCATENATE(SUM($P$6:$P118)," / ",SUM($P$6:$P482))</f>
        <v>528 / 528</v>
      </c>
      <c r="P118" s="244">
        <v>0</v>
      </c>
      <c r="Q118" s="28"/>
      <c r="R118" s="245">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399">
        <v>42483</v>
      </c>
      <c r="C119" s="35" t="str">
        <f t="shared" si="5"/>
        <v>Samedi</v>
      </c>
      <c r="D119" s="35">
        <f t="shared" si="8"/>
        <v>114</v>
      </c>
      <c r="E119" s="124">
        <f t="shared" si="6"/>
        <v>17</v>
      </c>
      <c r="F119" s="124">
        <f t="shared" si="7"/>
        <v>4</v>
      </c>
      <c r="G119" s="27"/>
      <c r="H119" s="28" t="str">
        <f>CONCATENATE(SUMIF($E$6:$E119,$E119,$K$6:$K$370)," / ",SUMIF($E$6:$E$370,$E119,$K$6:$K$370))</f>
        <v>0 / 0</v>
      </c>
      <c r="I119" s="28" t="str">
        <f>CONCATENATE(SUMIF($F$6:$F119,$F119,$K$6:$K$370)," / ",SUMIF($F$6:$F$370,$F119,$K$6:$K$370))</f>
        <v>0 / 0</v>
      </c>
      <c r="J119" s="28" t="str">
        <f>CONCATENATE(SUM($K$6:$K119)," / ",SUM($K$6:$K$370))</f>
        <v>651,895 / 651,895</v>
      </c>
      <c r="K119" s="244">
        <v>0</v>
      </c>
      <c r="L119" s="28"/>
      <c r="M119" s="28" t="str">
        <f>CONCATENATE(SUMIF($E$6:$E119,$E119,$P$6:$P$370)," / ",SUMIF($E$6:$E$370,$E119,$P$6:$P$370))</f>
        <v>0 / 0</v>
      </c>
      <c r="N119" s="28" t="str">
        <f ca="1">CONCATENATE(SUMIF($F$6:$F119,$F119,$P119)," / ",SUMIF($F$6:$F$370,$F119,$P$6:$P$370))</f>
        <v>0 / 0</v>
      </c>
      <c r="O119" s="28" t="str">
        <f>CONCATENATE(SUM($P$6:$P119)," / ",SUM($P$6:$P483))</f>
        <v>528 / 528</v>
      </c>
      <c r="P119" s="244">
        <v>0</v>
      </c>
      <c r="Q119" s="28"/>
      <c r="R119" s="245">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399">
        <v>42484</v>
      </c>
      <c r="C120" s="35" t="str">
        <f t="shared" si="5"/>
        <v>Dimanche</v>
      </c>
      <c r="D120" s="35">
        <f t="shared" si="8"/>
        <v>115</v>
      </c>
      <c r="E120" s="124">
        <f t="shared" si="6"/>
        <v>18</v>
      </c>
      <c r="F120" s="124">
        <f t="shared" si="7"/>
        <v>4</v>
      </c>
      <c r="G120" s="27"/>
      <c r="H120" s="28" t="str">
        <f>CONCATENATE(SUMIF($E$6:$E120,$E120,$K$6:$K$370)," / ",SUMIF($E$6:$E$370,$E120,$K$6:$K$370))</f>
        <v>0 / 0</v>
      </c>
      <c r="I120" s="28" t="str">
        <f>CONCATENATE(SUMIF($F$6:$F120,$F120,$K$6:$K$370)," / ",SUMIF($F$6:$F$370,$F120,$K$6:$K$370))</f>
        <v>0 / 0</v>
      </c>
      <c r="J120" s="28" t="str">
        <f>CONCATENATE(SUM($K$6:$K120)," / ",SUM($K$6:$K$370))</f>
        <v>651,895 / 651,895</v>
      </c>
      <c r="K120" s="244">
        <v>0</v>
      </c>
      <c r="L120" s="28"/>
      <c r="M120" s="28" t="str">
        <f>CONCATENATE(SUMIF($E$6:$E120,$E120,$P$6:$P$370)," / ",SUMIF($E$6:$E$370,$E120,$P$6:$P$370))</f>
        <v>0 / 0</v>
      </c>
      <c r="N120" s="28" t="str">
        <f ca="1">CONCATENATE(SUMIF($F$6:$F120,$F120,$P120)," / ",SUMIF($F$6:$F$370,$F120,$P$6:$P$370))</f>
        <v>0 / 0</v>
      </c>
      <c r="O120" s="28" t="str">
        <f>CONCATENATE(SUM($P$6:$P120)," / ",SUM($P$6:$P484))</f>
        <v>528 / 528</v>
      </c>
      <c r="P120" s="244">
        <v>0</v>
      </c>
      <c r="Q120" s="28"/>
      <c r="R120" s="245">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399">
        <v>42485</v>
      </c>
      <c r="C121" s="35" t="str">
        <f t="shared" si="5"/>
        <v>Lundi</v>
      </c>
      <c r="D121" s="35">
        <f t="shared" si="8"/>
        <v>116</v>
      </c>
      <c r="E121" s="124">
        <f t="shared" si="6"/>
        <v>18</v>
      </c>
      <c r="F121" s="124">
        <f t="shared" si="7"/>
        <v>4</v>
      </c>
      <c r="G121" s="27"/>
      <c r="H121" s="28" t="str">
        <f>CONCATENATE(SUMIF($E$6:$E121,$E121,$K$6:$K$370)," / ",SUMIF($E$6:$E$370,$E121,$K$6:$K$370))</f>
        <v>0 / 0</v>
      </c>
      <c r="I121" s="28" t="str">
        <f>CONCATENATE(SUMIF($F$6:$F121,$F121,$K$6:$K$370)," / ",SUMIF($F$6:$F$370,$F121,$K$6:$K$370))</f>
        <v>0 / 0</v>
      </c>
      <c r="J121" s="28" t="str">
        <f>CONCATENATE(SUM($K$6:$K121)," / ",SUM($K$6:$K$370))</f>
        <v>651,895 / 651,895</v>
      </c>
      <c r="K121" s="244">
        <v>0</v>
      </c>
      <c r="L121" s="28"/>
      <c r="M121" s="28" t="str">
        <f>CONCATENATE(SUMIF($E$6:$E121,$E121,$P$6:$P$370)," / ",SUMIF($E$6:$E$370,$E121,$P$6:$P$370))</f>
        <v>0 / 0</v>
      </c>
      <c r="N121" s="28" t="str">
        <f ca="1">CONCATENATE(SUMIF($F$6:$F121,$F121,$P121)," / ",SUMIF($F$6:$F$370,$F121,$P$6:$P$370))</f>
        <v>0 / 0</v>
      </c>
      <c r="O121" s="28" t="str">
        <f>CONCATENATE(SUM($P$6:$P121)," / ",SUM($P$6:$P485))</f>
        <v>528 / 528</v>
      </c>
      <c r="P121" s="244">
        <v>0</v>
      </c>
      <c r="Q121" s="28"/>
      <c r="R121" s="245">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399">
        <v>42486</v>
      </c>
      <c r="C122" s="35" t="str">
        <f t="shared" si="5"/>
        <v>Mardi</v>
      </c>
      <c r="D122" s="35">
        <f t="shared" si="8"/>
        <v>117</v>
      </c>
      <c r="E122" s="124">
        <f t="shared" si="6"/>
        <v>18</v>
      </c>
      <c r="F122" s="124">
        <f t="shared" si="7"/>
        <v>4</v>
      </c>
      <c r="G122" s="27"/>
      <c r="H122" s="28" t="str">
        <f>CONCATENATE(SUMIF($E$6:$E122,$E122,$K$6:$K$370)," / ",SUMIF($E$6:$E$370,$E122,$K$6:$K$370))</f>
        <v>0 / 0</v>
      </c>
      <c r="I122" s="28" t="str">
        <f>CONCATENATE(SUMIF($F$6:$F122,$F122,$K$6:$K$370)," / ",SUMIF($F$6:$F$370,$F122,$K$6:$K$370))</f>
        <v>0 / 0</v>
      </c>
      <c r="J122" s="28" t="str">
        <f>CONCATENATE(SUM($K$6:$K122)," / ",SUM($K$6:$K$370))</f>
        <v>651,895 / 651,895</v>
      </c>
      <c r="K122" s="244">
        <v>0</v>
      </c>
      <c r="L122" s="28"/>
      <c r="M122" s="28" t="str">
        <f>CONCATENATE(SUMIF($E$6:$E122,$E122,$P$6:$P$370)," / ",SUMIF($E$6:$E$370,$E122,$P$6:$P$370))</f>
        <v>0 / 0</v>
      </c>
      <c r="N122" s="28" t="str">
        <f ca="1">CONCATENATE(SUMIF($F$6:$F122,$F122,$P122)," / ",SUMIF($F$6:$F$370,$F122,$P$6:$P$370))</f>
        <v>0 / 0</v>
      </c>
      <c r="O122" s="28" t="str">
        <f>CONCATENATE(SUM($P$6:$P122)," / ",SUM($P$6:$P486))</f>
        <v>528 / 528</v>
      </c>
      <c r="P122" s="244">
        <v>0</v>
      </c>
      <c r="Q122" s="28"/>
      <c r="R122" s="245">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399">
        <v>42487</v>
      </c>
      <c r="C123" s="35" t="str">
        <f t="shared" si="5"/>
        <v>Mercredi</v>
      </c>
      <c r="D123" s="35">
        <f t="shared" si="8"/>
        <v>118</v>
      </c>
      <c r="E123" s="124">
        <f t="shared" si="6"/>
        <v>18</v>
      </c>
      <c r="F123" s="124">
        <f t="shared" si="7"/>
        <v>4</v>
      </c>
      <c r="G123" s="27"/>
      <c r="H123" s="28" t="str">
        <f>CONCATENATE(SUMIF($E$6:$E123,$E123,$K$6:$K$370)," / ",SUMIF($E$6:$E$370,$E123,$K$6:$K$370))</f>
        <v>0 / 0</v>
      </c>
      <c r="I123" s="28" t="str">
        <f>CONCATENATE(SUMIF($F$6:$F123,$F123,$K$6:$K$370)," / ",SUMIF($F$6:$F$370,$F123,$K$6:$K$370))</f>
        <v>0 / 0</v>
      </c>
      <c r="J123" s="28" t="str">
        <f>CONCATENATE(SUM($K$6:$K123)," / ",SUM($K$6:$K$370))</f>
        <v>651,895 / 651,895</v>
      </c>
      <c r="K123" s="244">
        <v>0</v>
      </c>
      <c r="L123" s="28"/>
      <c r="M123" s="28" t="str">
        <f>CONCATENATE(SUMIF($E$6:$E123,$E123,$P$6:$P$370)," / ",SUMIF($E$6:$E$370,$E123,$P$6:$P$370))</f>
        <v>0 / 0</v>
      </c>
      <c r="N123" s="28" t="str">
        <f ca="1">CONCATENATE(SUMIF($F$6:$F123,$F123,$P123)," / ",SUMIF($F$6:$F$370,$F123,$P$6:$P$370))</f>
        <v>0 / 0</v>
      </c>
      <c r="O123" s="28" t="str">
        <f>CONCATENATE(SUM($P$6:$P123)," / ",SUM($P$6:$P487))</f>
        <v>528 / 528</v>
      </c>
      <c r="P123" s="244">
        <v>0</v>
      </c>
      <c r="Q123" s="28"/>
      <c r="R123" s="245">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399">
        <v>42488</v>
      </c>
      <c r="C124" s="35" t="str">
        <f t="shared" si="5"/>
        <v>Jeudi</v>
      </c>
      <c r="D124" s="35">
        <f t="shared" si="8"/>
        <v>119</v>
      </c>
      <c r="E124" s="124">
        <f t="shared" si="6"/>
        <v>18</v>
      </c>
      <c r="F124" s="124">
        <f t="shared" si="7"/>
        <v>4</v>
      </c>
      <c r="G124" s="27"/>
      <c r="H124" s="28" t="str">
        <f>CONCATENATE(SUMIF($E$6:$E124,$E124,$K$6:$K$370)," / ",SUMIF($E$6:$E$370,$E124,$K$6:$K$370))</f>
        <v>0 / 0</v>
      </c>
      <c r="I124" s="28" t="str">
        <f>CONCATENATE(SUMIF($F$6:$F124,$F124,$K$6:$K$370)," / ",SUMIF($F$6:$F$370,$F124,$K$6:$K$370))</f>
        <v>0 / 0</v>
      </c>
      <c r="J124" s="28" t="str">
        <f>CONCATENATE(SUM($K$6:$K124)," / ",SUM($K$6:$K$370))</f>
        <v>651,895 / 651,895</v>
      </c>
      <c r="K124" s="244">
        <v>0</v>
      </c>
      <c r="L124" s="28"/>
      <c r="M124" s="28" t="str">
        <f>CONCATENATE(SUMIF($E$6:$E124,$E124,$P$6:$P$370)," / ",SUMIF($E$6:$E$370,$E124,$P$6:$P$370))</f>
        <v>0 / 0</v>
      </c>
      <c r="N124" s="28" t="str">
        <f ca="1">CONCATENATE(SUMIF($F$6:$F124,$F124,$P124)," / ",SUMIF($F$6:$F$370,$F124,$P$6:$P$370))</f>
        <v>0 / 0</v>
      </c>
      <c r="O124" s="28" t="str">
        <f>CONCATENATE(SUM($P$6:$P124)," / ",SUM($P$6:$P488))</f>
        <v>528 / 528</v>
      </c>
      <c r="P124" s="244">
        <v>0</v>
      </c>
      <c r="Q124" s="28"/>
      <c r="R124" s="245">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399">
        <v>42489</v>
      </c>
      <c r="C125" s="35" t="str">
        <f t="shared" si="5"/>
        <v>Vendredi</v>
      </c>
      <c r="D125" s="35">
        <f t="shared" si="8"/>
        <v>120</v>
      </c>
      <c r="E125" s="124">
        <f t="shared" si="6"/>
        <v>18</v>
      </c>
      <c r="F125" s="124">
        <f t="shared" si="7"/>
        <v>4</v>
      </c>
      <c r="G125" s="27"/>
      <c r="H125" s="28" t="str">
        <f>CONCATENATE(SUMIF($E$6:$E125,$E125,$K$6:$K$370)," / ",SUMIF($E$6:$E$370,$E125,$K$6:$K$370))</f>
        <v>0 / 0</v>
      </c>
      <c r="I125" s="28" t="str">
        <f>CONCATENATE(SUMIF($F$6:$F125,$F125,$K$6:$K$370)," / ",SUMIF($F$6:$F$370,$F125,$K$6:$K$370))</f>
        <v>0 / 0</v>
      </c>
      <c r="J125" s="28" t="str">
        <f>CONCATENATE(SUM($K$6:$K125)," / ",SUM($K$6:$K$370))</f>
        <v>651,895 / 651,895</v>
      </c>
      <c r="K125" s="244">
        <v>0</v>
      </c>
      <c r="L125" s="28"/>
      <c r="M125" s="28" t="str">
        <f>CONCATENATE(SUMIF($E$6:$E125,$E125,$P$6:$P$370)," / ",SUMIF($E$6:$E$370,$E125,$P$6:$P$370))</f>
        <v>0 / 0</v>
      </c>
      <c r="N125" s="28" t="str">
        <f ca="1">CONCATENATE(SUMIF($F$6:$F125,$F125,$P125)," / ",SUMIF($F$6:$F$370,$F125,$P$6:$P$370))</f>
        <v>0 / 0</v>
      </c>
      <c r="O125" s="28" t="str">
        <f>CONCATENATE(SUM($P$6:$P125)," / ",SUM($P$6:$P489))</f>
        <v>528 / 528</v>
      </c>
      <c r="P125" s="244">
        <v>0</v>
      </c>
      <c r="Q125" s="28"/>
      <c r="R125" s="245">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399">
        <v>42490</v>
      </c>
      <c r="C126" s="35" t="str">
        <f t="shared" si="5"/>
        <v>Samedi</v>
      </c>
      <c r="D126" s="35">
        <f t="shared" si="8"/>
        <v>121</v>
      </c>
      <c r="E126" s="124">
        <f t="shared" si="6"/>
        <v>18</v>
      </c>
      <c r="F126" s="124">
        <f t="shared" si="7"/>
        <v>4</v>
      </c>
      <c r="G126" s="27"/>
      <c r="H126" s="28" t="str">
        <f>CONCATENATE(SUMIF($E$6:$E126,$E126,$K$6:$K$370)," / ",SUMIF($E$6:$E$370,$E126,$K$6:$K$370))</f>
        <v>0 / 0</v>
      </c>
      <c r="I126" s="28" t="str">
        <f>CONCATENATE(SUMIF($F$6:$F126,$F126,$K$6:$K$370)," / ",SUMIF($F$6:$F$370,$F126,$K$6:$K$370))</f>
        <v>0 / 0</v>
      </c>
      <c r="J126" s="28" t="str">
        <f>CONCATENATE(SUM($K$6:$K126)," / ",SUM($K$6:$K$370))</f>
        <v>651,895 / 651,895</v>
      </c>
      <c r="K126" s="244">
        <v>0</v>
      </c>
      <c r="L126" s="28"/>
      <c r="M126" s="28" t="str">
        <f>CONCATENATE(SUMIF($E$6:$E126,$E126,$P$6:$P$370)," / ",SUMIF($E$6:$E$370,$E126,$P$6:$P$370))</f>
        <v>0 / 0</v>
      </c>
      <c r="N126" s="28" t="str">
        <f ca="1">CONCATENATE(SUMIF($F$6:$F126,$F126,$P126)," / ",SUMIF($F$6:$F$370,$F126,$P$6:$P$370))</f>
        <v>0 / 0</v>
      </c>
      <c r="O126" s="28" t="str">
        <f>CONCATENATE(SUM($P$6:$P126)," / ",SUM($P$6:$P490))</f>
        <v>528 / 528</v>
      </c>
      <c r="P126" s="244">
        <v>0</v>
      </c>
      <c r="Q126" s="28"/>
      <c r="R126" s="245">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399">
        <v>42491</v>
      </c>
      <c r="C127" s="35" t="str">
        <f t="shared" si="5"/>
        <v>Dimanche</v>
      </c>
      <c r="D127" s="35">
        <f t="shared" si="8"/>
        <v>122</v>
      </c>
      <c r="E127" s="124">
        <f t="shared" si="6"/>
        <v>19</v>
      </c>
      <c r="F127" s="124">
        <f t="shared" si="7"/>
        <v>5</v>
      </c>
      <c r="G127" s="27"/>
      <c r="H127" s="28" t="str">
        <f>CONCATENATE(SUMIF($E$6:$E127,$E127,$K$6:$K$370)," / ",SUMIF($E$6:$E$370,$E127,$K$6:$K$370))</f>
        <v>0 / 0</v>
      </c>
      <c r="I127" s="28" t="str">
        <f>CONCATENATE(SUMIF($F$6:$F127,$F127,$K$6:$K$370)," / ",SUMIF($F$6:$F$370,$F127,$K$6:$K$370))</f>
        <v>0 / 0</v>
      </c>
      <c r="J127" s="28" t="str">
        <f>CONCATENATE(SUM($K$6:$K127)," / ",SUM($K$6:$K$370))</f>
        <v>651,895 / 651,895</v>
      </c>
      <c r="K127" s="244">
        <v>0</v>
      </c>
      <c r="L127" s="28"/>
      <c r="M127" s="28" t="str">
        <f>CONCATENATE(SUMIF($E$6:$E127,$E127,$P$6:$P$370)," / ",SUMIF($E$6:$E$370,$E127,$P$6:$P$370))</f>
        <v>0 / 0</v>
      </c>
      <c r="N127" s="28" t="str">
        <f ca="1">CONCATENATE(SUMIF($F$6:$F127,$F127,$P127)," / ",SUMIF($F$6:$F$370,$F127,$P$6:$P$370))</f>
        <v>0 / 0</v>
      </c>
      <c r="O127" s="28" t="str">
        <f>CONCATENATE(SUM($P$6:$P127)," / ",SUM($P$6:$P491))</f>
        <v>528 / 528</v>
      </c>
      <c r="P127" s="244">
        <v>0</v>
      </c>
      <c r="Q127" s="28"/>
      <c r="R127" s="245">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399">
        <v>42492</v>
      </c>
      <c r="C128" s="35" t="str">
        <f t="shared" si="5"/>
        <v>Lundi</v>
      </c>
      <c r="D128" s="35">
        <f t="shared" si="8"/>
        <v>123</v>
      </c>
      <c r="E128" s="124">
        <f t="shared" si="6"/>
        <v>19</v>
      </c>
      <c r="F128" s="124">
        <f t="shared" si="7"/>
        <v>5</v>
      </c>
      <c r="G128" s="27"/>
      <c r="H128" s="28" t="str">
        <f>CONCATENATE(SUMIF($E$6:$E128,$E128,$K$6:$K$370)," / ",SUMIF($E$6:$E$370,$E128,$K$6:$K$370))</f>
        <v>0 / 0</v>
      </c>
      <c r="I128" s="28" t="str">
        <f>CONCATENATE(SUMIF($F$6:$F128,$F128,$K$6:$K$370)," / ",SUMIF($F$6:$F$370,$F128,$K$6:$K$370))</f>
        <v>0 / 0</v>
      </c>
      <c r="J128" s="28" t="str">
        <f>CONCATENATE(SUM($K$6:$K128)," / ",SUM($K$6:$K$370))</f>
        <v>651,895 / 651,895</v>
      </c>
      <c r="K128" s="244">
        <v>0</v>
      </c>
      <c r="L128" s="28"/>
      <c r="M128" s="28" t="str">
        <f>CONCATENATE(SUMIF($E$6:$E128,$E128,$P$6:$P$370)," / ",SUMIF($E$6:$E$370,$E128,$P$6:$P$370))</f>
        <v>0 / 0</v>
      </c>
      <c r="N128" s="28" t="str">
        <f ca="1">CONCATENATE(SUMIF($F$6:$F128,$F128,$P128)," / ",SUMIF($F$6:$F$370,$F128,$P$6:$P$370))</f>
        <v>0 / 0</v>
      </c>
      <c r="O128" s="28" t="str">
        <f>CONCATENATE(SUM($P$6:$P128)," / ",SUM($P$6:$P492))</f>
        <v>528 / 528</v>
      </c>
      <c r="P128" s="244">
        <v>0</v>
      </c>
      <c r="Q128" s="28"/>
      <c r="R128" s="245">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399">
        <v>42493</v>
      </c>
      <c r="C129" s="35" t="str">
        <f t="shared" si="5"/>
        <v>Mardi</v>
      </c>
      <c r="D129" s="35">
        <f t="shared" si="8"/>
        <v>124</v>
      </c>
      <c r="E129" s="124">
        <f t="shared" si="6"/>
        <v>19</v>
      </c>
      <c r="F129" s="124">
        <f t="shared" si="7"/>
        <v>5</v>
      </c>
      <c r="G129" s="27"/>
      <c r="H129" s="28" t="str">
        <f>CONCATENATE(SUMIF($E$6:$E129,$E129,$K$6:$K$370)," / ",SUMIF($E$6:$E$370,$E129,$K$6:$K$370))</f>
        <v>0 / 0</v>
      </c>
      <c r="I129" s="28" t="str">
        <f>CONCATENATE(SUMIF($F$6:$F129,$F129,$K$6:$K$370)," / ",SUMIF($F$6:$F$370,$F129,$K$6:$K$370))</f>
        <v>0 / 0</v>
      </c>
      <c r="J129" s="28" t="str">
        <f>CONCATENATE(SUM($K$6:$K129)," / ",SUM($K$6:$K$370))</f>
        <v>651,895 / 651,895</v>
      </c>
      <c r="K129" s="244">
        <v>0</v>
      </c>
      <c r="L129" s="28"/>
      <c r="M129" s="28" t="str">
        <f>CONCATENATE(SUMIF($E$6:$E129,$E129,$P$6:$P$370)," / ",SUMIF($E$6:$E$370,$E129,$P$6:$P$370))</f>
        <v>0 / 0</v>
      </c>
      <c r="N129" s="28" t="str">
        <f ca="1">CONCATENATE(SUMIF($F$6:$F129,$F129,$P129)," / ",SUMIF($F$6:$F$370,$F129,$P$6:$P$370))</f>
        <v>0 / 0</v>
      </c>
      <c r="O129" s="28" t="str">
        <f>CONCATENATE(SUM($P$6:$P129)," / ",SUM($P$6:$P493))</f>
        <v>528 / 528</v>
      </c>
      <c r="P129" s="244">
        <v>0</v>
      </c>
      <c r="Q129" s="28"/>
      <c r="R129" s="245">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399">
        <v>42494</v>
      </c>
      <c r="C130" s="35" t="str">
        <f t="shared" si="5"/>
        <v>Mercredi</v>
      </c>
      <c r="D130" s="35">
        <f t="shared" si="8"/>
        <v>125</v>
      </c>
      <c r="E130" s="124">
        <f t="shared" si="6"/>
        <v>19</v>
      </c>
      <c r="F130" s="124">
        <f t="shared" si="7"/>
        <v>5</v>
      </c>
      <c r="G130" s="27"/>
      <c r="H130" s="28" t="str">
        <f>CONCATENATE(SUMIF($E$6:$E130,$E130,$K$6:$K$370)," / ",SUMIF($E$6:$E$370,$E130,$K$6:$K$370))</f>
        <v>0 / 0</v>
      </c>
      <c r="I130" s="28" t="str">
        <f>CONCATENATE(SUMIF($F$6:$F130,$F130,$K$6:$K$370)," / ",SUMIF($F$6:$F$370,$F130,$K$6:$K$370))</f>
        <v>0 / 0</v>
      </c>
      <c r="J130" s="28" t="str">
        <f>CONCATENATE(SUM($K$6:$K130)," / ",SUM($K$6:$K$370))</f>
        <v>651,895 / 651,895</v>
      </c>
      <c r="K130" s="244">
        <v>0</v>
      </c>
      <c r="L130" s="28"/>
      <c r="M130" s="28" t="str">
        <f>CONCATENATE(SUMIF($E$6:$E130,$E130,$P$6:$P$370)," / ",SUMIF($E$6:$E$370,$E130,$P$6:$P$370))</f>
        <v>0 / 0</v>
      </c>
      <c r="N130" s="28" t="str">
        <f ca="1">CONCATENATE(SUMIF($F$6:$F130,$F130,$P130)," / ",SUMIF($F$6:$F$370,$F130,$P$6:$P$370))</f>
        <v>0 / 0</v>
      </c>
      <c r="O130" s="28" t="str">
        <f>CONCATENATE(SUM($P$6:$P130)," / ",SUM($P$6:$P494))</f>
        <v>528 / 528</v>
      </c>
      <c r="P130" s="244">
        <v>0</v>
      </c>
      <c r="Q130" s="28"/>
      <c r="R130" s="245">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399">
        <v>42495</v>
      </c>
      <c r="C131" s="35" t="str">
        <f t="shared" si="5"/>
        <v>Jeudi</v>
      </c>
      <c r="D131" s="35">
        <f t="shared" si="8"/>
        <v>126</v>
      </c>
      <c r="E131" s="124">
        <f t="shared" si="6"/>
        <v>19</v>
      </c>
      <c r="F131" s="124">
        <f t="shared" si="7"/>
        <v>5</v>
      </c>
      <c r="G131" s="27"/>
      <c r="H131" s="28" t="str">
        <f>CONCATENATE(SUMIF($E$6:$E131,$E131,$K$6:$K$370)," / ",SUMIF($E$6:$E$370,$E131,$K$6:$K$370))</f>
        <v>0 / 0</v>
      </c>
      <c r="I131" s="28" t="str">
        <f>CONCATENATE(SUMIF($F$6:$F131,$F131,$K$6:$K$370)," / ",SUMIF($F$6:$F$370,$F131,$K$6:$K$370))</f>
        <v>0 / 0</v>
      </c>
      <c r="J131" s="28" t="str">
        <f>CONCATENATE(SUM($K$6:$K131)," / ",SUM($K$6:$K$370))</f>
        <v>651,895 / 651,895</v>
      </c>
      <c r="K131" s="244">
        <v>0</v>
      </c>
      <c r="L131" s="28"/>
      <c r="M131" s="28" t="str">
        <f>CONCATENATE(SUMIF($E$6:$E131,$E131,$P$6:$P$370)," / ",SUMIF($E$6:$E$370,$E131,$P$6:$P$370))</f>
        <v>0 / 0</v>
      </c>
      <c r="N131" s="28" t="str">
        <f ca="1">CONCATENATE(SUMIF($F$6:$F131,$F131,$P131)," / ",SUMIF($F$6:$F$370,$F131,$P$6:$P$370))</f>
        <v>0 / 0</v>
      </c>
      <c r="O131" s="28" t="str">
        <f>CONCATENATE(SUM($P$6:$P131)," / ",SUM($P$6:$P495))</f>
        <v>528 / 528</v>
      </c>
      <c r="P131" s="244">
        <v>0</v>
      </c>
      <c r="Q131" s="28"/>
      <c r="R131" s="245">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399">
        <v>42496</v>
      </c>
      <c r="C132" s="35" t="str">
        <f t="shared" si="5"/>
        <v>Vendredi</v>
      </c>
      <c r="D132" s="35">
        <f t="shared" si="8"/>
        <v>127</v>
      </c>
      <c r="E132" s="124">
        <f t="shared" si="6"/>
        <v>19</v>
      </c>
      <c r="F132" s="124">
        <f t="shared" si="7"/>
        <v>5</v>
      </c>
      <c r="G132" s="27"/>
      <c r="H132" s="28" t="str">
        <f>CONCATENATE(SUMIF($E$6:$E132,$E132,$K$6:$K$370)," / ",SUMIF($E$6:$E$370,$E132,$K$6:$K$370))</f>
        <v>0 / 0</v>
      </c>
      <c r="I132" s="28" t="str">
        <f>CONCATENATE(SUMIF($F$6:$F132,$F132,$K$6:$K$370)," / ",SUMIF($F$6:$F$370,$F132,$K$6:$K$370))</f>
        <v>0 / 0</v>
      </c>
      <c r="J132" s="28" t="str">
        <f>CONCATENATE(SUM($K$6:$K132)," / ",SUM($K$6:$K$370))</f>
        <v>651,895 / 651,895</v>
      </c>
      <c r="K132" s="244">
        <v>0</v>
      </c>
      <c r="L132" s="28"/>
      <c r="M132" s="28" t="str">
        <f>CONCATENATE(SUMIF($E$6:$E132,$E132,$P$6:$P$370)," / ",SUMIF($E$6:$E$370,$E132,$P$6:$P$370))</f>
        <v>0 / 0</v>
      </c>
      <c r="N132" s="28" t="str">
        <f ca="1">CONCATENATE(SUMIF($F$6:$F132,$F132,$P132)," / ",SUMIF($F$6:$F$370,$F132,$P$6:$P$370))</f>
        <v>0 / 0</v>
      </c>
      <c r="O132" s="28" t="str">
        <f>CONCATENATE(SUM($P$6:$P132)," / ",SUM($P$6:$P496))</f>
        <v>528 / 528</v>
      </c>
      <c r="P132" s="244">
        <v>0</v>
      </c>
      <c r="Q132" s="28"/>
      <c r="R132" s="245">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399">
        <v>42497</v>
      </c>
      <c r="C133" s="35" t="str">
        <f t="shared" si="5"/>
        <v>Samedi</v>
      </c>
      <c r="D133" s="35">
        <f t="shared" si="8"/>
        <v>128</v>
      </c>
      <c r="E133" s="124">
        <f t="shared" si="6"/>
        <v>19</v>
      </c>
      <c r="F133" s="124">
        <f t="shared" si="7"/>
        <v>5</v>
      </c>
      <c r="G133" s="27"/>
      <c r="H133" s="28" t="str">
        <f>CONCATENATE(SUMIF($E$6:$E133,$E133,$K$6:$K$370)," / ",SUMIF($E$6:$E$370,$E133,$K$6:$K$370))</f>
        <v>0 / 0</v>
      </c>
      <c r="I133" s="28" t="str">
        <f>CONCATENATE(SUMIF($F$6:$F133,$F133,$K$6:$K$370)," / ",SUMIF($F$6:$F$370,$F133,$K$6:$K$370))</f>
        <v>0 / 0</v>
      </c>
      <c r="J133" s="28" t="str">
        <f>CONCATENATE(SUM($K$6:$K133)," / ",SUM($K$6:$K$370))</f>
        <v>651,895 / 651,895</v>
      </c>
      <c r="K133" s="244">
        <v>0</v>
      </c>
      <c r="L133" s="28"/>
      <c r="M133" s="28" t="str">
        <f>CONCATENATE(SUMIF($E$6:$E133,$E133,$P$6:$P$370)," / ",SUMIF($E$6:$E$370,$E133,$P$6:$P$370))</f>
        <v>0 / 0</v>
      </c>
      <c r="N133" s="28" t="str">
        <f ca="1">CONCATENATE(SUMIF($F$6:$F133,$F133,$P133)," / ",SUMIF($F$6:$F$370,$F133,$P$6:$P$370))</f>
        <v>0 / 0</v>
      </c>
      <c r="O133" s="28" t="str">
        <f>CONCATENATE(SUM($P$6:$P133)," / ",SUM($P$6:$P497))</f>
        <v>528 / 528</v>
      </c>
      <c r="P133" s="244">
        <v>0</v>
      </c>
      <c r="Q133" s="28"/>
      <c r="R133" s="245">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399">
        <v>42498</v>
      </c>
      <c r="C134" s="35" t="str">
        <f t="shared" si="5"/>
        <v>Dimanche</v>
      </c>
      <c r="D134" s="35">
        <f t="shared" si="8"/>
        <v>129</v>
      </c>
      <c r="E134" s="124">
        <f t="shared" si="6"/>
        <v>20</v>
      </c>
      <c r="F134" s="124">
        <f t="shared" si="7"/>
        <v>5</v>
      </c>
      <c r="G134" s="27"/>
      <c r="H134" s="28" t="str">
        <f>CONCATENATE(SUMIF($E$6:$E134,$E134,$K$6:$K$370)," / ",SUMIF($E$6:$E$370,$E134,$K$6:$K$370))</f>
        <v>0 / 0</v>
      </c>
      <c r="I134" s="28" t="str">
        <f>CONCATENATE(SUMIF($F$6:$F134,$F134,$K$6:$K$370)," / ",SUMIF($F$6:$F$370,$F134,$K$6:$K$370))</f>
        <v>0 / 0</v>
      </c>
      <c r="J134" s="28" t="str">
        <f>CONCATENATE(SUM($K$6:$K134)," / ",SUM($K$6:$K$370))</f>
        <v>651,895 / 651,895</v>
      </c>
      <c r="K134" s="244">
        <v>0</v>
      </c>
      <c r="L134" s="28"/>
      <c r="M134" s="28" t="str">
        <f>CONCATENATE(SUMIF($E$6:$E134,$E134,$P$6:$P$370)," / ",SUMIF($E$6:$E$370,$E134,$P$6:$P$370))</f>
        <v>0 / 0</v>
      </c>
      <c r="N134" s="28" t="str">
        <f ca="1">CONCATENATE(SUMIF($F$6:$F134,$F134,$P134)," / ",SUMIF($F$6:$F$370,$F134,$P$6:$P$370))</f>
        <v>0 / 0</v>
      </c>
      <c r="O134" s="28" t="str">
        <f>CONCATENATE(SUM($P$6:$P134)," / ",SUM($P$6:$P498))</f>
        <v>528 / 528</v>
      </c>
      <c r="P134" s="244">
        <v>0</v>
      </c>
      <c r="Q134" s="28"/>
      <c r="R134" s="245">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399">
        <v>42499</v>
      </c>
      <c r="C135" s="35" t="str">
        <f t="shared" ref="C135:C198" si="11">IF(EXACT(WEEKDAY(B135),1),"Dimanche",IF(EXACT(WEEKDAY(B135),2),"Lundi",IF(EXACT(WEEKDAY(B135),3),"Mardi",IF(EXACT(WEEKDAY(B135),4),"Mercredi",IF(EXACT(WEEKDAY(B135),5),"Jeudi",IF(EXACT(WEEKDAY(B135),6),"Vendredi",IF(EXACT(WEEKDAY(B135),7),"Samedi","Erreur de date")))))))</f>
        <v>Lundi</v>
      </c>
      <c r="D135" s="35">
        <f t="shared" si="8"/>
        <v>130</v>
      </c>
      <c r="E135" s="124">
        <f t="shared" ref="E135:E198" si="12">WEEKNUM($B135)</f>
        <v>20</v>
      </c>
      <c r="F135" s="124">
        <f t="shared" ref="F135:F198" si="13">MONTH(B135)</f>
        <v>5</v>
      </c>
      <c r="G135" s="27"/>
      <c r="H135" s="28" t="str">
        <f>CONCATENATE(SUMIF($E$6:$E135,$E135,$K$6:$K$370)," / ",SUMIF($E$6:$E$370,$E135,$K$6:$K$370))</f>
        <v>0 / 0</v>
      </c>
      <c r="I135" s="28" t="str">
        <f>CONCATENATE(SUMIF($F$6:$F135,$F135,$K$6:$K$370)," / ",SUMIF($F$6:$F$370,$F135,$K$6:$K$370))</f>
        <v>0 / 0</v>
      </c>
      <c r="J135" s="28" t="str">
        <f>CONCATENATE(SUM($K$6:$K135)," / ",SUM($K$6:$K$370))</f>
        <v>651,895 / 651,895</v>
      </c>
      <c r="K135" s="244">
        <v>0</v>
      </c>
      <c r="L135" s="28"/>
      <c r="M135" s="28" t="str">
        <f>CONCATENATE(SUMIF($E$6:$E135,$E135,$P$6:$P$370)," / ",SUMIF($E$6:$E$370,$E135,$P$6:$P$370))</f>
        <v>0 / 0</v>
      </c>
      <c r="N135" s="28" t="str">
        <f ca="1">CONCATENATE(SUMIF($F$6:$F135,$F135,$P135)," / ",SUMIF($F$6:$F$370,$F135,$P$6:$P$370))</f>
        <v>0 / 0</v>
      </c>
      <c r="O135" s="28" t="str">
        <f>CONCATENATE(SUM($P$6:$P135)," / ",SUM($P$6:$P499))</f>
        <v>528 / 528</v>
      </c>
      <c r="P135" s="244">
        <v>0</v>
      </c>
      <c r="Q135" s="28"/>
      <c r="R135" s="245">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399">
        <v>42500</v>
      </c>
      <c r="C136" s="35" t="str">
        <f t="shared" si="11"/>
        <v>Mardi</v>
      </c>
      <c r="D136" s="35">
        <f t="shared" ref="D136:D199" si="14">D135+1</f>
        <v>131</v>
      </c>
      <c r="E136" s="124">
        <f t="shared" si="12"/>
        <v>20</v>
      </c>
      <c r="F136" s="124">
        <f t="shared" si="13"/>
        <v>5</v>
      </c>
      <c r="G136" s="27"/>
      <c r="H136" s="28" t="str">
        <f>CONCATENATE(SUMIF($E$6:$E136,$E136,$K$6:$K$370)," / ",SUMIF($E$6:$E$370,$E136,$K$6:$K$370))</f>
        <v>0 / 0</v>
      </c>
      <c r="I136" s="28" t="str">
        <f>CONCATENATE(SUMIF($F$6:$F136,$F136,$K$6:$K$370)," / ",SUMIF($F$6:$F$370,$F136,$K$6:$K$370))</f>
        <v>0 / 0</v>
      </c>
      <c r="J136" s="28" t="str">
        <f>CONCATENATE(SUM($K$6:$K136)," / ",SUM($K$6:$K$370))</f>
        <v>651,895 / 651,895</v>
      </c>
      <c r="K136" s="244">
        <v>0</v>
      </c>
      <c r="L136" s="28"/>
      <c r="M136" s="28" t="str">
        <f>CONCATENATE(SUMIF($E$6:$E136,$E136,$P$6:$P$370)," / ",SUMIF($E$6:$E$370,$E136,$P$6:$P$370))</f>
        <v>0 / 0</v>
      </c>
      <c r="N136" s="28" t="str">
        <f ca="1">CONCATENATE(SUMIF($F$6:$F136,$F136,$P136)," / ",SUMIF($F$6:$F$370,$F136,$P$6:$P$370))</f>
        <v>0 / 0</v>
      </c>
      <c r="O136" s="28" t="str">
        <f>CONCATENATE(SUM($P$6:$P136)," / ",SUM($P$6:$P500))</f>
        <v>528 / 528</v>
      </c>
      <c r="P136" s="244">
        <v>0</v>
      </c>
      <c r="Q136" s="28"/>
      <c r="R136" s="245">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399">
        <v>42501</v>
      </c>
      <c r="C137" s="35" t="str">
        <f t="shared" si="11"/>
        <v>Mercredi</v>
      </c>
      <c r="D137" s="35">
        <f t="shared" si="14"/>
        <v>132</v>
      </c>
      <c r="E137" s="124">
        <f t="shared" si="12"/>
        <v>20</v>
      </c>
      <c r="F137" s="124">
        <f t="shared" si="13"/>
        <v>5</v>
      </c>
      <c r="G137" s="27"/>
      <c r="H137" s="28" t="str">
        <f>CONCATENATE(SUMIF($E$6:$E137,$E137,$K$6:$K$370)," / ",SUMIF($E$6:$E$370,$E137,$K$6:$K$370))</f>
        <v>0 / 0</v>
      </c>
      <c r="I137" s="28" t="str">
        <f>CONCATENATE(SUMIF($F$6:$F137,$F137,$K$6:$K$370)," / ",SUMIF($F$6:$F$370,$F137,$K$6:$K$370))</f>
        <v>0 / 0</v>
      </c>
      <c r="J137" s="28" t="str">
        <f>CONCATENATE(SUM($K$6:$K137)," / ",SUM($K$6:$K$370))</f>
        <v>651,895 / 651,895</v>
      </c>
      <c r="K137" s="244">
        <v>0</v>
      </c>
      <c r="L137" s="28"/>
      <c r="M137" s="28" t="str">
        <f>CONCATENATE(SUMIF($E$6:$E137,$E137,$P$6:$P$370)," / ",SUMIF($E$6:$E$370,$E137,$P$6:$P$370))</f>
        <v>0 / 0</v>
      </c>
      <c r="N137" s="28" t="str">
        <f ca="1">CONCATENATE(SUMIF($F$6:$F137,$F137,$P137)," / ",SUMIF($F$6:$F$370,$F137,$P$6:$P$370))</f>
        <v>0 / 0</v>
      </c>
      <c r="O137" s="28" t="str">
        <f>CONCATENATE(SUM($P$6:$P137)," / ",SUM($P$6:$P501))</f>
        <v>528 / 528</v>
      </c>
      <c r="P137" s="244">
        <v>0</v>
      </c>
      <c r="Q137" s="28"/>
      <c r="R137" s="245">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399">
        <v>42502</v>
      </c>
      <c r="C138" s="35" t="str">
        <f t="shared" si="11"/>
        <v>Jeudi</v>
      </c>
      <c r="D138" s="35">
        <f t="shared" si="14"/>
        <v>133</v>
      </c>
      <c r="E138" s="124">
        <f t="shared" si="12"/>
        <v>20</v>
      </c>
      <c r="F138" s="124">
        <f t="shared" si="13"/>
        <v>5</v>
      </c>
      <c r="G138" s="27"/>
      <c r="H138" s="28" t="str">
        <f>CONCATENATE(SUMIF($E$6:$E138,$E138,$K$6:$K$370)," / ",SUMIF($E$6:$E$370,$E138,$K$6:$K$370))</f>
        <v>0 / 0</v>
      </c>
      <c r="I138" s="28" t="str">
        <f>CONCATENATE(SUMIF($F$6:$F138,$F138,$K$6:$K$370)," / ",SUMIF($F$6:$F$370,$F138,$K$6:$K$370))</f>
        <v>0 / 0</v>
      </c>
      <c r="J138" s="28" t="str">
        <f>CONCATENATE(SUM($K$6:$K138)," / ",SUM($K$6:$K$370))</f>
        <v>651,895 / 651,895</v>
      </c>
      <c r="K138" s="244">
        <v>0</v>
      </c>
      <c r="L138" s="28"/>
      <c r="M138" s="28" t="str">
        <f>CONCATENATE(SUMIF($E$6:$E138,$E138,$P$6:$P$370)," / ",SUMIF($E$6:$E$370,$E138,$P$6:$P$370))</f>
        <v>0 / 0</v>
      </c>
      <c r="N138" s="28" t="str">
        <f ca="1">CONCATENATE(SUMIF($F$6:$F138,$F138,$P138)," / ",SUMIF($F$6:$F$370,$F138,$P$6:$P$370))</f>
        <v>0 / 0</v>
      </c>
      <c r="O138" s="28" t="str">
        <f>CONCATENATE(SUM($P$6:$P138)," / ",SUM($P$6:$P502))</f>
        <v>528 / 528</v>
      </c>
      <c r="P138" s="244">
        <v>0</v>
      </c>
      <c r="Q138" s="28"/>
      <c r="R138" s="245">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399">
        <v>42503</v>
      </c>
      <c r="C139" s="35" t="str">
        <f t="shared" si="11"/>
        <v>Vendredi</v>
      </c>
      <c r="D139" s="35">
        <f t="shared" si="14"/>
        <v>134</v>
      </c>
      <c r="E139" s="124">
        <f t="shared" si="12"/>
        <v>20</v>
      </c>
      <c r="F139" s="124">
        <f t="shared" si="13"/>
        <v>5</v>
      </c>
      <c r="G139" s="27"/>
      <c r="H139" s="28" t="str">
        <f>CONCATENATE(SUMIF($E$6:$E139,$E139,$K$6:$K$370)," / ",SUMIF($E$6:$E$370,$E139,$K$6:$K$370))</f>
        <v>0 / 0</v>
      </c>
      <c r="I139" s="28" t="str">
        <f>CONCATENATE(SUMIF($F$6:$F139,$F139,$K$6:$K$370)," / ",SUMIF($F$6:$F$370,$F139,$K$6:$K$370))</f>
        <v>0 / 0</v>
      </c>
      <c r="J139" s="28" t="str">
        <f>CONCATENATE(SUM($K$6:$K139)," / ",SUM($K$6:$K$370))</f>
        <v>651,895 / 651,895</v>
      </c>
      <c r="K139" s="244">
        <v>0</v>
      </c>
      <c r="L139" s="28"/>
      <c r="M139" s="28" t="str">
        <f>CONCATENATE(SUMIF($E$6:$E139,$E139,$P$6:$P$370)," / ",SUMIF($E$6:$E$370,$E139,$P$6:$P$370))</f>
        <v>0 / 0</v>
      </c>
      <c r="N139" s="28" t="str">
        <f ca="1">CONCATENATE(SUMIF($F$6:$F139,$F139,$P139)," / ",SUMIF($F$6:$F$370,$F139,$P$6:$P$370))</f>
        <v>0 / 0</v>
      </c>
      <c r="O139" s="28" t="str">
        <f>CONCATENATE(SUM($P$6:$P139)," / ",SUM($P$6:$P503))</f>
        <v>528 / 528</v>
      </c>
      <c r="P139" s="244">
        <v>0</v>
      </c>
      <c r="Q139" s="28"/>
      <c r="R139" s="245">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399">
        <v>42504</v>
      </c>
      <c r="C140" s="35" t="str">
        <f t="shared" si="11"/>
        <v>Samedi</v>
      </c>
      <c r="D140" s="35">
        <f t="shared" si="14"/>
        <v>135</v>
      </c>
      <c r="E140" s="124">
        <f t="shared" si="12"/>
        <v>20</v>
      </c>
      <c r="F140" s="124">
        <f t="shared" si="13"/>
        <v>5</v>
      </c>
      <c r="G140" s="27"/>
      <c r="H140" s="28" t="str">
        <f>CONCATENATE(SUMIF($E$6:$E140,$E140,$K$6:$K$370)," / ",SUMIF($E$6:$E$370,$E140,$K$6:$K$370))</f>
        <v>0 / 0</v>
      </c>
      <c r="I140" s="28" t="str">
        <f>CONCATENATE(SUMIF($F$6:$F140,$F140,$K$6:$K$370)," / ",SUMIF($F$6:$F$370,$F140,$K$6:$K$370))</f>
        <v>0 / 0</v>
      </c>
      <c r="J140" s="28" t="str">
        <f>CONCATENATE(SUM($K$6:$K140)," / ",SUM($K$6:$K$370))</f>
        <v>651,895 / 651,895</v>
      </c>
      <c r="K140" s="244">
        <v>0</v>
      </c>
      <c r="L140" s="28"/>
      <c r="M140" s="28" t="str">
        <f>CONCATENATE(SUMIF($E$6:$E140,$E140,$P$6:$P$370)," / ",SUMIF($E$6:$E$370,$E140,$P$6:$P$370))</f>
        <v>0 / 0</v>
      </c>
      <c r="N140" s="28" t="str">
        <f ca="1">CONCATENATE(SUMIF($F$6:$F140,$F140,$P140)," / ",SUMIF($F$6:$F$370,$F140,$P$6:$P$370))</f>
        <v>0 / 0</v>
      </c>
      <c r="O140" s="28" t="str">
        <f>CONCATENATE(SUM($P$6:$P140)," / ",SUM($P$6:$P504))</f>
        <v>528 / 528</v>
      </c>
      <c r="P140" s="244">
        <v>0</v>
      </c>
      <c r="Q140" s="28"/>
      <c r="R140" s="245">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399">
        <v>42505</v>
      </c>
      <c r="C141" s="35" t="str">
        <f t="shared" si="11"/>
        <v>Dimanche</v>
      </c>
      <c r="D141" s="35">
        <f t="shared" si="14"/>
        <v>136</v>
      </c>
      <c r="E141" s="124">
        <f t="shared" si="12"/>
        <v>21</v>
      </c>
      <c r="F141" s="124">
        <f t="shared" si="13"/>
        <v>5</v>
      </c>
      <c r="G141" s="27"/>
      <c r="H141" s="28" t="str">
        <f>CONCATENATE(SUMIF($E$6:$E141,$E141,$K$6:$K$370)," / ",SUMIF($E$6:$E$370,$E141,$K$6:$K$370))</f>
        <v>0 / 0</v>
      </c>
      <c r="I141" s="28" t="str">
        <f>CONCATENATE(SUMIF($F$6:$F141,$F141,$K$6:$K$370)," / ",SUMIF($F$6:$F$370,$F141,$K$6:$K$370))</f>
        <v>0 / 0</v>
      </c>
      <c r="J141" s="28" t="str">
        <f>CONCATENATE(SUM($K$6:$K141)," / ",SUM($K$6:$K$370))</f>
        <v>651,895 / 651,895</v>
      </c>
      <c r="K141" s="244">
        <v>0</v>
      </c>
      <c r="L141" s="28"/>
      <c r="M141" s="28" t="str">
        <f>CONCATENATE(SUMIF($E$6:$E141,$E141,$P$6:$P$370)," / ",SUMIF($E$6:$E$370,$E141,$P$6:$P$370))</f>
        <v>0 / 0</v>
      </c>
      <c r="N141" s="28" t="str">
        <f ca="1">CONCATENATE(SUMIF($F$6:$F141,$F141,$P141)," / ",SUMIF($F$6:$F$370,$F141,$P$6:$P$370))</f>
        <v>0 / 0</v>
      </c>
      <c r="O141" s="28" t="str">
        <f>CONCATENATE(SUM($P$6:$P141)," / ",SUM($P$6:$P505))</f>
        <v>528 / 528</v>
      </c>
      <c r="P141" s="244">
        <v>0</v>
      </c>
      <c r="Q141" s="28"/>
      <c r="R141" s="245">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399">
        <v>42506</v>
      </c>
      <c r="C142" s="35" t="str">
        <f t="shared" si="11"/>
        <v>Lundi</v>
      </c>
      <c r="D142" s="35">
        <f t="shared" si="14"/>
        <v>137</v>
      </c>
      <c r="E142" s="124">
        <f t="shared" si="12"/>
        <v>21</v>
      </c>
      <c r="F142" s="124">
        <f t="shared" si="13"/>
        <v>5</v>
      </c>
      <c r="G142" s="27"/>
      <c r="H142" s="28" t="str">
        <f>CONCATENATE(SUMIF($E$6:$E142,$E142,$K$6:$K$370)," / ",SUMIF($E$6:$E$370,$E142,$K$6:$K$370))</f>
        <v>0 / 0</v>
      </c>
      <c r="I142" s="28" t="str">
        <f>CONCATENATE(SUMIF($F$6:$F142,$F142,$K$6:$K$370)," / ",SUMIF($F$6:$F$370,$F142,$K$6:$K$370))</f>
        <v>0 / 0</v>
      </c>
      <c r="J142" s="28" t="str">
        <f>CONCATENATE(SUM($K$6:$K142)," / ",SUM($K$6:$K$370))</f>
        <v>651,895 / 651,895</v>
      </c>
      <c r="K142" s="244">
        <v>0</v>
      </c>
      <c r="L142" s="28"/>
      <c r="M142" s="28" t="str">
        <f>CONCATENATE(SUMIF($E$6:$E142,$E142,$P$6:$P$370)," / ",SUMIF($E$6:$E$370,$E142,$P$6:$P$370))</f>
        <v>0 / 0</v>
      </c>
      <c r="N142" s="28" t="str">
        <f ca="1">CONCATENATE(SUMIF($F$6:$F142,$F142,$P142)," / ",SUMIF($F$6:$F$370,$F142,$P$6:$P$370))</f>
        <v>0 / 0</v>
      </c>
      <c r="O142" s="28" t="str">
        <f>CONCATENATE(SUM($P$6:$P142)," / ",SUM($P$6:$P506))</f>
        <v>528 / 528</v>
      </c>
      <c r="P142" s="244">
        <v>0</v>
      </c>
      <c r="Q142" s="28"/>
      <c r="R142" s="245">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399">
        <v>42507</v>
      </c>
      <c r="C143" s="35" t="str">
        <f t="shared" si="11"/>
        <v>Mardi</v>
      </c>
      <c r="D143" s="35">
        <f t="shared" si="14"/>
        <v>138</v>
      </c>
      <c r="E143" s="124">
        <f t="shared" si="12"/>
        <v>21</v>
      </c>
      <c r="F143" s="124">
        <f t="shared" si="13"/>
        <v>5</v>
      </c>
      <c r="G143" s="27"/>
      <c r="H143" s="28" t="str">
        <f>CONCATENATE(SUMIF($E$6:$E143,$E143,$K$6:$K$370)," / ",SUMIF($E$6:$E$370,$E143,$K$6:$K$370))</f>
        <v>0 / 0</v>
      </c>
      <c r="I143" s="28" t="str">
        <f>CONCATENATE(SUMIF($F$6:$F143,$F143,$K$6:$K$370)," / ",SUMIF($F$6:$F$370,$F143,$K$6:$K$370))</f>
        <v>0 / 0</v>
      </c>
      <c r="J143" s="28" t="str">
        <f>CONCATENATE(SUM($K$6:$K143)," / ",SUM($K$6:$K$370))</f>
        <v>651,895 / 651,895</v>
      </c>
      <c r="K143" s="244">
        <v>0</v>
      </c>
      <c r="L143" s="28"/>
      <c r="M143" s="28" t="str">
        <f>CONCATENATE(SUMIF($E$6:$E143,$E143,$P$6:$P$370)," / ",SUMIF($E$6:$E$370,$E143,$P$6:$P$370))</f>
        <v>0 / 0</v>
      </c>
      <c r="N143" s="28" t="str">
        <f ca="1">CONCATENATE(SUMIF($F$6:$F143,$F143,$P143)," / ",SUMIF($F$6:$F$370,$F143,$P$6:$P$370))</f>
        <v>0 / 0</v>
      </c>
      <c r="O143" s="28" t="str">
        <f>CONCATENATE(SUM($P$6:$P143)," / ",SUM($P$6:$P507))</f>
        <v>528 / 528</v>
      </c>
      <c r="P143" s="244">
        <v>0</v>
      </c>
      <c r="Q143" s="28"/>
      <c r="R143" s="245">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399">
        <v>42508</v>
      </c>
      <c r="C144" s="35" t="str">
        <f t="shared" si="11"/>
        <v>Mercredi</v>
      </c>
      <c r="D144" s="35">
        <f t="shared" si="14"/>
        <v>139</v>
      </c>
      <c r="E144" s="124">
        <f t="shared" si="12"/>
        <v>21</v>
      </c>
      <c r="F144" s="124">
        <f t="shared" si="13"/>
        <v>5</v>
      </c>
      <c r="G144" s="27"/>
      <c r="H144" s="28" t="str">
        <f>CONCATENATE(SUMIF($E$6:$E144,$E144,$K$6:$K$370)," / ",SUMIF($E$6:$E$370,$E144,$K$6:$K$370))</f>
        <v>0 / 0</v>
      </c>
      <c r="I144" s="28" t="str">
        <f>CONCATENATE(SUMIF($F$6:$F144,$F144,$K$6:$K$370)," / ",SUMIF($F$6:$F$370,$F144,$K$6:$K$370))</f>
        <v>0 / 0</v>
      </c>
      <c r="J144" s="28" t="str">
        <f>CONCATENATE(SUM($K$6:$K144)," / ",SUM($K$6:$K$370))</f>
        <v>651,895 / 651,895</v>
      </c>
      <c r="K144" s="244">
        <v>0</v>
      </c>
      <c r="L144" s="28"/>
      <c r="M144" s="28" t="str">
        <f>CONCATENATE(SUMIF($E$6:$E144,$E144,$P$6:$P$370)," / ",SUMIF($E$6:$E$370,$E144,$P$6:$P$370))</f>
        <v>0 / 0</v>
      </c>
      <c r="N144" s="28" t="str">
        <f ca="1">CONCATENATE(SUMIF($F$6:$F144,$F144,$P144)," / ",SUMIF($F$6:$F$370,$F144,$P$6:$P$370))</f>
        <v>0 / 0</v>
      </c>
      <c r="O144" s="28" t="str">
        <f>CONCATENATE(SUM($P$6:$P144)," / ",SUM($P$6:$P508))</f>
        <v>528 / 528</v>
      </c>
      <c r="P144" s="244">
        <v>0</v>
      </c>
      <c r="Q144" s="28"/>
      <c r="R144" s="245">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399">
        <v>42509</v>
      </c>
      <c r="C145" s="35" t="str">
        <f t="shared" si="11"/>
        <v>Jeudi</v>
      </c>
      <c r="D145" s="35">
        <f t="shared" si="14"/>
        <v>140</v>
      </c>
      <c r="E145" s="124">
        <f t="shared" si="12"/>
        <v>21</v>
      </c>
      <c r="F145" s="124">
        <f t="shared" si="13"/>
        <v>5</v>
      </c>
      <c r="G145" s="27"/>
      <c r="H145" s="28" t="str">
        <f>CONCATENATE(SUMIF($E$6:$E145,$E145,$K$6:$K$370)," / ",SUMIF($E$6:$E$370,$E145,$K$6:$K$370))</f>
        <v>0 / 0</v>
      </c>
      <c r="I145" s="28" t="str">
        <f>CONCATENATE(SUMIF($F$6:$F145,$F145,$K$6:$K$370)," / ",SUMIF($F$6:$F$370,$F145,$K$6:$K$370))</f>
        <v>0 / 0</v>
      </c>
      <c r="J145" s="28" t="str">
        <f>CONCATENATE(SUM($K$6:$K145)," / ",SUM($K$6:$K$370))</f>
        <v>651,895 / 651,895</v>
      </c>
      <c r="K145" s="244">
        <v>0</v>
      </c>
      <c r="L145" s="28"/>
      <c r="M145" s="28" t="str">
        <f>CONCATENATE(SUMIF($E$6:$E145,$E145,$P$6:$P$370)," / ",SUMIF($E$6:$E$370,$E145,$P$6:$P$370))</f>
        <v>0 / 0</v>
      </c>
      <c r="N145" s="28" t="str">
        <f ca="1">CONCATENATE(SUMIF($F$6:$F145,$F145,$P145)," / ",SUMIF($F$6:$F$370,$F145,$P$6:$P$370))</f>
        <v>0 / 0</v>
      </c>
      <c r="O145" s="28" t="str">
        <f>CONCATENATE(SUM($P$6:$P145)," / ",SUM($P$6:$P509))</f>
        <v>528 / 528</v>
      </c>
      <c r="P145" s="244">
        <v>0</v>
      </c>
      <c r="Q145" s="28"/>
      <c r="R145" s="245">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399">
        <v>42510</v>
      </c>
      <c r="C146" s="35" t="str">
        <f t="shared" si="11"/>
        <v>Vendredi</v>
      </c>
      <c r="D146" s="35">
        <f t="shared" si="14"/>
        <v>141</v>
      </c>
      <c r="E146" s="124">
        <f t="shared" si="12"/>
        <v>21</v>
      </c>
      <c r="F146" s="124">
        <f t="shared" si="13"/>
        <v>5</v>
      </c>
      <c r="G146" s="27"/>
      <c r="H146" s="28" t="str">
        <f>CONCATENATE(SUMIF($E$6:$E146,$E146,$K$6:$K$370)," / ",SUMIF($E$6:$E$370,$E146,$K$6:$K$370))</f>
        <v>0 / 0</v>
      </c>
      <c r="I146" s="28" t="str">
        <f>CONCATENATE(SUMIF($F$6:$F146,$F146,$K$6:$K$370)," / ",SUMIF($F$6:$F$370,$F146,$K$6:$K$370))</f>
        <v>0 / 0</v>
      </c>
      <c r="J146" s="28" t="str">
        <f>CONCATENATE(SUM($K$6:$K146)," / ",SUM($K$6:$K$370))</f>
        <v>651,895 / 651,895</v>
      </c>
      <c r="K146" s="244">
        <v>0</v>
      </c>
      <c r="L146" s="28"/>
      <c r="M146" s="28" t="str">
        <f>CONCATENATE(SUMIF($E$6:$E146,$E146,$P$6:$P$370)," / ",SUMIF($E$6:$E$370,$E146,$P$6:$P$370))</f>
        <v>0 / 0</v>
      </c>
      <c r="N146" s="28" t="str">
        <f ca="1">CONCATENATE(SUMIF($F$6:$F146,$F146,$P146)," / ",SUMIF($F$6:$F$370,$F146,$P$6:$P$370))</f>
        <v>0 / 0</v>
      </c>
      <c r="O146" s="28" t="str">
        <f>CONCATENATE(SUM($P$6:$P146)," / ",SUM($P$6:$P510))</f>
        <v>528 / 528</v>
      </c>
      <c r="P146" s="244">
        <v>0</v>
      </c>
      <c r="Q146" s="28"/>
      <c r="R146" s="245">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399">
        <v>42511</v>
      </c>
      <c r="C147" s="35" t="str">
        <f t="shared" si="11"/>
        <v>Samedi</v>
      </c>
      <c r="D147" s="35">
        <f t="shared" si="14"/>
        <v>142</v>
      </c>
      <c r="E147" s="124">
        <f t="shared" si="12"/>
        <v>21</v>
      </c>
      <c r="F147" s="124">
        <f t="shared" si="13"/>
        <v>5</v>
      </c>
      <c r="G147" s="27"/>
      <c r="H147" s="28" t="str">
        <f>CONCATENATE(SUMIF($E$6:$E147,$E147,$K$6:$K$370)," / ",SUMIF($E$6:$E$370,$E147,$K$6:$K$370))</f>
        <v>0 / 0</v>
      </c>
      <c r="I147" s="28" t="str">
        <f>CONCATENATE(SUMIF($F$6:$F147,$F147,$K$6:$K$370)," / ",SUMIF($F$6:$F$370,$F147,$K$6:$K$370))</f>
        <v>0 / 0</v>
      </c>
      <c r="J147" s="28" t="str">
        <f>CONCATENATE(SUM($K$6:$K147)," / ",SUM($K$6:$K$370))</f>
        <v>651,895 / 651,895</v>
      </c>
      <c r="K147" s="244">
        <v>0</v>
      </c>
      <c r="L147" s="28"/>
      <c r="M147" s="28" t="str">
        <f>CONCATENATE(SUMIF($E$6:$E147,$E147,$P$6:$P$370)," / ",SUMIF($E$6:$E$370,$E147,$P$6:$P$370))</f>
        <v>0 / 0</v>
      </c>
      <c r="N147" s="28" t="str">
        <f ca="1">CONCATENATE(SUMIF($F$6:$F147,$F147,$P147)," / ",SUMIF($F$6:$F$370,$F147,$P$6:$P$370))</f>
        <v>0 / 0</v>
      </c>
      <c r="O147" s="28" t="str">
        <f>CONCATENATE(SUM($P$6:$P147)," / ",SUM($P$6:$P511))</f>
        <v>528 / 528</v>
      </c>
      <c r="P147" s="244">
        <v>0</v>
      </c>
      <c r="Q147" s="28"/>
      <c r="R147" s="245">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399">
        <v>42512</v>
      </c>
      <c r="C148" s="35" t="str">
        <f t="shared" si="11"/>
        <v>Dimanche</v>
      </c>
      <c r="D148" s="35">
        <f t="shared" si="14"/>
        <v>143</v>
      </c>
      <c r="E148" s="124">
        <f t="shared" si="12"/>
        <v>22</v>
      </c>
      <c r="F148" s="124">
        <f t="shared" si="13"/>
        <v>5</v>
      </c>
      <c r="G148" s="27"/>
      <c r="H148" s="28" t="str">
        <f>CONCATENATE(SUMIF($E$6:$E148,$E148,$K$6:$K$370)," / ",SUMIF($E$6:$E$370,$E148,$K$6:$K$370))</f>
        <v>0 / 0</v>
      </c>
      <c r="I148" s="28" t="str">
        <f>CONCATENATE(SUMIF($F$6:$F148,$F148,$K$6:$K$370)," / ",SUMIF($F$6:$F$370,$F148,$K$6:$K$370))</f>
        <v>0 / 0</v>
      </c>
      <c r="J148" s="28" t="str">
        <f>CONCATENATE(SUM($K$6:$K148)," / ",SUM($K$6:$K$370))</f>
        <v>651,895 / 651,895</v>
      </c>
      <c r="K148" s="244">
        <v>0</v>
      </c>
      <c r="L148" s="28"/>
      <c r="M148" s="28" t="str">
        <f>CONCATENATE(SUMIF($E$6:$E148,$E148,$P$6:$P$370)," / ",SUMIF($E$6:$E$370,$E148,$P$6:$P$370))</f>
        <v>0 / 0</v>
      </c>
      <c r="N148" s="28" t="str">
        <f ca="1">CONCATENATE(SUMIF($F$6:$F148,$F148,$P148)," / ",SUMIF($F$6:$F$370,$F148,$P$6:$P$370))</f>
        <v>0 / 0</v>
      </c>
      <c r="O148" s="28" t="str">
        <f>CONCATENATE(SUM($P$6:$P148)," / ",SUM($P$6:$P512))</f>
        <v>528 / 528</v>
      </c>
      <c r="P148" s="244">
        <v>0</v>
      </c>
      <c r="Q148" s="28"/>
      <c r="R148" s="245">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399">
        <v>42513</v>
      </c>
      <c r="C149" s="35" t="str">
        <f t="shared" si="11"/>
        <v>Lundi</v>
      </c>
      <c r="D149" s="35">
        <f t="shared" si="14"/>
        <v>144</v>
      </c>
      <c r="E149" s="124">
        <f t="shared" si="12"/>
        <v>22</v>
      </c>
      <c r="F149" s="124">
        <f t="shared" si="13"/>
        <v>5</v>
      </c>
      <c r="G149" s="27"/>
      <c r="H149" s="28" t="str">
        <f>CONCATENATE(SUMIF($E$6:$E149,$E149,$K$6:$K$370)," / ",SUMIF($E$6:$E$370,$E149,$K$6:$K$370))</f>
        <v>0 / 0</v>
      </c>
      <c r="I149" s="28" t="str">
        <f>CONCATENATE(SUMIF($F$6:$F149,$F149,$K$6:$K$370)," / ",SUMIF($F$6:$F$370,$F149,$K$6:$K$370))</f>
        <v>0 / 0</v>
      </c>
      <c r="J149" s="28" t="str">
        <f>CONCATENATE(SUM($K$6:$K149)," / ",SUM($K$6:$K$370))</f>
        <v>651,895 / 651,895</v>
      </c>
      <c r="K149" s="244">
        <v>0</v>
      </c>
      <c r="L149" s="28"/>
      <c r="M149" s="28" t="str">
        <f>CONCATENATE(SUMIF($E$6:$E149,$E149,$P$6:$P$370)," / ",SUMIF($E$6:$E$370,$E149,$P$6:$P$370))</f>
        <v>0 / 0</v>
      </c>
      <c r="N149" s="28" t="str">
        <f ca="1">CONCATENATE(SUMIF($F$6:$F149,$F149,$P149)," / ",SUMIF($F$6:$F$370,$F149,$P$6:$P$370))</f>
        <v>0 / 0</v>
      </c>
      <c r="O149" s="28" t="str">
        <f>CONCATENATE(SUM($P$6:$P149)," / ",SUM($P$6:$P513))</f>
        <v>528 / 528</v>
      </c>
      <c r="P149" s="244">
        <v>0</v>
      </c>
      <c r="Q149" s="28"/>
      <c r="R149" s="245">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399">
        <v>42514</v>
      </c>
      <c r="C150" s="35" t="str">
        <f t="shared" si="11"/>
        <v>Mardi</v>
      </c>
      <c r="D150" s="35">
        <f t="shared" si="14"/>
        <v>145</v>
      </c>
      <c r="E150" s="124">
        <f t="shared" si="12"/>
        <v>22</v>
      </c>
      <c r="F150" s="124">
        <f t="shared" si="13"/>
        <v>5</v>
      </c>
      <c r="G150" s="27"/>
      <c r="H150" s="28" t="str">
        <f>CONCATENATE(SUMIF($E$6:$E150,$E150,$K$6:$K$370)," / ",SUMIF($E$6:$E$370,$E150,$K$6:$K$370))</f>
        <v>0 / 0</v>
      </c>
      <c r="I150" s="28" t="str">
        <f>CONCATENATE(SUMIF($F$6:$F150,$F150,$K$6:$K$370)," / ",SUMIF($F$6:$F$370,$F150,$K$6:$K$370))</f>
        <v>0 / 0</v>
      </c>
      <c r="J150" s="28" t="str">
        <f>CONCATENATE(SUM($K$6:$K150)," / ",SUM($K$6:$K$370))</f>
        <v>651,895 / 651,895</v>
      </c>
      <c r="K150" s="244">
        <v>0</v>
      </c>
      <c r="L150" s="28"/>
      <c r="M150" s="28" t="str">
        <f>CONCATENATE(SUMIF($E$6:$E150,$E150,$P$6:$P$370)," / ",SUMIF($E$6:$E$370,$E150,$P$6:$P$370))</f>
        <v>0 / 0</v>
      </c>
      <c r="N150" s="28" t="str">
        <f ca="1">CONCATENATE(SUMIF($F$6:$F150,$F150,$P150)," / ",SUMIF($F$6:$F$370,$F150,$P$6:$P$370))</f>
        <v>0 / 0</v>
      </c>
      <c r="O150" s="28" t="str">
        <f>CONCATENATE(SUM($P$6:$P150)," / ",SUM($P$6:$P514))</f>
        <v>528 / 528</v>
      </c>
      <c r="P150" s="244">
        <v>0</v>
      </c>
      <c r="Q150" s="28"/>
      <c r="R150" s="245">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399">
        <v>42515</v>
      </c>
      <c r="C151" s="35" t="str">
        <f t="shared" si="11"/>
        <v>Mercredi</v>
      </c>
      <c r="D151" s="35">
        <f t="shared" si="14"/>
        <v>146</v>
      </c>
      <c r="E151" s="124">
        <f t="shared" si="12"/>
        <v>22</v>
      </c>
      <c r="F151" s="124">
        <f t="shared" si="13"/>
        <v>5</v>
      </c>
      <c r="G151" s="27"/>
      <c r="H151" s="28" t="str">
        <f>CONCATENATE(SUMIF($E$6:$E151,$E151,$K$6:$K$370)," / ",SUMIF($E$6:$E$370,$E151,$K$6:$K$370))</f>
        <v>0 / 0</v>
      </c>
      <c r="I151" s="28" t="str">
        <f>CONCATENATE(SUMIF($F$6:$F151,$F151,$K$6:$K$370)," / ",SUMIF($F$6:$F$370,$F151,$K$6:$K$370))</f>
        <v>0 / 0</v>
      </c>
      <c r="J151" s="28" t="str">
        <f>CONCATENATE(SUM($K$6:$K151)," / ",SUM($K$6:$K$370))</f>
        <v>651,895 / 651,895</v>
      </c>
      <c r="K151" s="244">
        <v>0</v>
      </c>
      <c r="L151" s="28"/>
      <c r="M151" s="28" t="str">
        <f>CONCATENATE(SUMIF($E$6:$E151,$E151,$P$6:$P$370)," / ",SUMIF($E$6:$E$370,$E151,$P$6:$P$370))</f>
        <v>0 / 0</v>
      </c>
      <c r="N151" s="28" t="str">
        <f ca="1">CONCATENATE(SUMIF($F$6:$F151,$F151,$P151)," / ",SUMIF($F$6:$F$370,$F151,$P$6:$P$370))</f>
        <v>0 / 0</v>
      </c>
      <c r="O151" s="28" t="str">
        <f>CONCATENATE(SUM($P$6:$P151)," / ",SUM($P$6:$P515))</f>
        <v>528 / 528</v>
      </c>
      <c r="P151" s="244">
        <v>0</v>
      </c>
      <c r="Q151" s="28"/>
      <c r="R151" s="245">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399">
        <v>42516</v>
      </c>
      <c r="C152" s="35" t="str">
        <f t="shared" si="11"/>
        <v>Jeudi</v>
      </c>
      <c r="D152" s="35">
        <f t="shared" si="14"/>
        <v>147</v>
      </c>
      <c r="E152" s="124">
        <f t="shared" si="12"/>
        <v>22</v>
      </c>
      <c r="F152" s="124">
        <f t="shared" si="13"/>
        <v>5</v>
      </c>
      <c r="G152" s="27"/>
      <c r="H152" s="28" t="str">
        <f>CONCATENATE(SUMIF($E$6:$E152,$E152,$K$6:$K$370)," / ",SUMIF($E$6:$E$370,$E152,$K$6:$K$370))</f>
        <v>0 / 0</v>
      </c>
      <c r="I152" s="28" t="str">
        <f>CONCATENATE(SUMIF($F$6:$F152,$F152,$K$6:$K$370)," / ",SUMIF($F$6:$F$370,$F152,$K$6:$K$370))</f>
        <v>0 / 0</v>
      </c>
      <c r="J152" s="28" t="str">
        <f>CONCATENATE(SUM($K$6:$K152)," / ",SUM($K$6:$K$370))</f>
        <v>651,895 / 651,895</v>
      </c>
      <c r="K152" s="244">
        <v>0</v>
      </c>
      <c r="L152" s="28"/>
      <c r="M152" s="28" t="str">
        <f>CONCATENATE(SUMIF($E$6:$E152,$E152,$P$6:$P$370)," / ",SUMIF($E$6:$E$370,$E152,$P$6:$P$370))</f>
        <v>0 / 0</v>
      </c>
      <c r="N152" s="28" t="str">
        <f ca="1">CONCATENATE(SUMIF($F$6:$F152,$F152,$P152)," / ",SUMIF($F$6:$F$370,$F152,$P$6:$P$370))</f>
        <v>0 / 0</v>
      </c>
      <c r="O152" s="28" t="str">
        <f>CONCATENATE(SUM($P$6:$P152)," / ",SUM($P$6:$P516))</f>
        <v>528 / 528</v>
      </c>
      <c r="P152" s="244">
        <v>0</v>
      </c>
      <c r="Q152" s="28"/>
      <c r="R152" s="245">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399">
        <v>42517</v>
      </c>
      <c r="C153" s="35" t="str">
        <f t="shared" si="11"/>
        <v>Vendredi</v>
      </c>
      <c r="D153" s="35">
        <f t="shared" si="14"/>
        <v>148</v>
      </c>
      <c r="E153" s="124">
        <f t="shared" si="12"/>
        <v>22</v>
      </c>
      <c r="F153" s="124">
        <f t="shared" si="13"/>
        <v>5</v>
      </c>
      <c r="G153" s="27"/>
      <c r="H153" s="28" t="str">
        <f>CONCATENATE(SUMIF($E$6:$E153,$E153,$K$6:$K$370)," / ",SUMIF($E$6:$E$370,$E153,$K$6:$K$370))</f>
        <v>0 / 0</v>
      </c>
      <c r="I153" s="28" t="str">
        <f>CONCATENATE(SUMIF($F$6:$F153,$F153,$K$6:$K$370)," / ",SUMIF($F$6:$F$370,$F153,$K$6:$K$370))</f>
        <v>0 / 0</v>
      </c>
      <c r="J153" s="28" t="str">
        <f>CONCATENATE(SUM($K$6:$K153)," / ",SUM($K$6:$K$370))</f>
        <v>651,895 / 651,895</v>
      </c>
      <c r="K153" s="244">
        <v>0</v>
      </c>
      <c r="L153" s="28"/>
      <c r="M153" s="28" t="str">
        <f>CONCATENATE(SUMIF($E$6:$E153,$E153,$P$6:$P$370)," / ",SUMIF($E$6:$E$370,$E153,$P$6:$P$370))</f>
        <v>0 / 0</v>
      </c>
      <c r="N153" s="28" t="str">
        <f ca="1">CONCATENATE(SUMIF($F$6:$F153,$F153,$P153)," / ",SUMIF($F$6:$F$370,$F153,$P$6:$P$370))</f>
        <v>0 / 0</v>
      </c>
      <c r="O153" s="28" t="str">
        <f>CONCATENATE(SUM($P$6:$P153)," / ",SUM($P$6:$P517))</f>
        <v>528 / 528</v>
      </c>
      <c r="P153" s="244">
        <v>0</v>
      </c>
      <c r="Q153" s="28"/>
      <c r="R153" s="245">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399">
        <v>42518</v>
      </c>
      <c r="C154" s="35" t="str">
        <f t="shared" si="11"/>
        <v>Samedi</v>
      </c>
      <c r="D154" s="35">
        <f t="shared" si="14"/>
        <v>149</v>
      </c>
      <c r="E154" s="124">
        <f t="shared" si="12"/>
        <v>22</v>
      </c>
      <c r="F154" s="124">
        <f t="shared" si="13"/>
        <v>5</v>
      </c>
      <c r="G154" s="27" t="s">
        <v>598</v>
      </c>
      <c r="H154" s="28" t="str">
        <f>CONCATENATE(SUMIF($E$6:$E154,$E154,$K$6:$K$370)," / ",SUMIF($E$6:$E$370,$E154,$K$6:$K$370))</f>
        <v>0 / 0</v>
      </c>
      <c r="I154" s="28" t="str">
        <f>CONCATENATE(SUMIF($F$6:$F154,$F154,$K$6:$K$370)," / ",SUMIF($F$6:$F$370,$F154,$K$6:$K$370))</f>
        <v>0 / 0</v>
      </c>
      <c r="J154" s="28" t="str">
        <f>CONCATENATE(SUM($K$6:$K154)," / ",SUM($K$6:$K$370))</f>
        <v>651,895 / 651,895</v>
      </c>
      <c r="K154" s="244">
        <v>0</v>
      </c>
      <c r="L154" s="28"/>
      <c r="M154" s="28" t="str">
        <f>CONCATENATE(SUMIF($E$6:$E154,$E154,$P$6:$P$370)," / ",SUMIF($E$6:$E$370,$E154,$P$6:$P$370))</f>
        <v>0 / 0</v>
      </c>
      <c r="N154" s="28" t="str">
        <f ca="1">CONCATENATE(SUMIF($F$6:$F154,$F154,$P154)," / ",SUMIF($F$6:$F$370,$F154,$P$6:$P$370))</f>
        <v>0 / 0</v>
      </c>
      <c r="O154" s="28" t="str">
        <f>CONCATENATE(SUM($P$6:$P154)," / ",SUM($P$6:$P518))</f>
        <v>528 / 528</v>
      </c>
      <c r="P154" s="244">
        <v>0</v>
      </c>
      <c r="Q154" s="28"/>
      <c r="R154" s="245">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399">
        <v>42519</v>
      </c>
      <c r="C155" s="35" t="str">
        <f t="shared" si="11"/>
        <v>Dimanche</v>
      </c>
      <c r="D155" s="35">
        <f t="shared" si="14"/>
        <v>150</v>
      </c>
      <c r="E155" s="124">
        <f t="shared" si="12"/>
        <v>23</v>
      </c>
      <c r="F155" s="124">
        <f t="shared" si="13"/>
        <v>5</v>
      </c>
      <c r="G155" s="27"/>
      <c r="H155" s="28" t="str">
        <f>CONCATENATE(SUMIF($E$6:$E155,$E155,$K$6:$K$370)," / ",SUMIF($E$6:$E$370,$E155,$K$6:$K$370))</f>
        <v>0 / 0</v>
      </c>
      <c r="I155" s="28" t="str">
        <f>CONCATENATE(SUMIF($F$6:$F155,$F155,$K$6:$K$370)," / ",SUMIF($F$6:$F$370,$F155,$K$6:$K$370))</f>
        <v>0 / 0</v>
      </c>
      <c r="J155" s="28" t="str">
        <f>CONCATENATE(SUM($K$6:$K155)," / ",SUM($K$6:$K$370))</f>
        <v>651,895 / 651,895</v>
      </c>
      <c r="K155" s="244">
        <v>0</v>
      </c>
      <c r="L155" s="28"/>
      <c r="M155" s="28" t="str">
        <f>CONCATENATE(SUMIF($E$6:$E155,$E155,$P$6:$P$370)," / ",SUMIF($E$6:$E$370,$E155,$P$6:$P$370))</f>
        <v>0 / 0</v>
      </c>
      <c r="N155" s="28" t="str">
        <f ca="1">CONCATENATE(SUMIF($F$6:$F155,$F155,$P155)," / ",SUMIF($F$6:$F$370,$F155,$P$6:$P$370))</f>
        <v>0 / 0</v>
      </c>
      <c r="O155" s="28" t="str">
        <f>CONCATENATE(SUM($P$6:$P155)," / ",SUM($P$6:$P519))</f>
        <v>528 / 528</v>
      </c>
      <c r="P155" s="244">
        <v>0</v>
      </c>
      <c r="Q155" s="28"/>
      <c r="R155" s="245">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399">
        <v>42520</v>
      </c>
      <c r="C156" s="35" t="str">
        <f t="shared" si="11"/>
        <v>Lundi</v>
      </c>
      <c r="D156" s="35">
        <f t="shared" si="14"/>
        <v>151</v>
      </c>
      <c r="E156" s="124">
        <f t="shared" si="12"/>
        <v>23</v>
      </c>
      <c r="F156" s="124">
        <f t="shared" si="13"/>
        <v>5</v>
      </c>
      <c r="G156" s="27"/>
      <c r="H156" s="28" t="str">
        <f>CONCATENATE(SUMIF($E$6:$E156,$E156,$K$6:$K$370)," / ",SUMIF($E$6:$E$370,$E156,$K$6:$K$370))</f>
        <v>0 / 0</v>
      </c>
      <c r="I156" s="28" t="str">
        <f>CONCATENATE(SUMIF($F$6:$F156,$F156,$K$6:$K$370)," / ",SUMIF($F$6:$F$370,$F156,$K$6:$K$370))</f>
        <v>0 / 0</v>
      </c>
      <c r="J156" s="28" t="str">
        <f>CONCATENATE(SUM($K$6:$K156)," / ",SUM($K$6:$K$370))</f>
        <v>651,895 / 651,895</v>
      </c>
      <c r="K156" s="244">
        <v>0</v>
      </c>
      <c r="L156" s="28"/>
      <c r="M156" s="28" t="str">
        <f>CONCATENATE(SUMIF($E$6:$E156,$E156,$P$6:$P$370)," / ",SUMIF($E$6:$E$370,$E156,$P$6:$P$370))</f>
        <v>0 / 0</v>
      </c>
      <c r="N156" s="28" t="str">
        <f ca="1">CONCATENATE(SUMIF($F$6:$F156,$F156,$P156)," / ",SUMIF($F$6:$F$370,$F156,$P$6:$P$370))</f>
        <v>0 / 0</v>
      </c>
      <c r="O156" s="28" t="str">
        <f>CONCATENATE(SUM($P$6:$P156)," / ",SUM($P$6:$P520))</f>
        <v>528 / 528</v>
      </c>
      <c r="P156" s="244">
        <v>0</v>
      </c>
      <c r="Q156" s="28"/>
      <c r="R156" s="245">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399">
        <v>42521</v>
      </c>
      <c r="C157" s="35" t="str">
        <f t="shared" si="11"/>
        <v>Mardi</v>
      </c>
      <c r="D157" s="35">
        <f t="shared" si="14"/>
        <v>152</v>
      </c>
      <c r="E157" s="124">
        <f t="shared" si="12"/>
        <v>23</v>
      </c>
      <c r="F157" s="124">
        <f t="shared" si="13"/>
        <v>5</v>
      </c>
      <c r="G157" s="27"/>
      <c r="H157" s="28" t="str">
        <f>CONCATENATE(SUMIF($E$6:$E157,$E157,$K$6:$K$370)," / ",SUMIF($E$6:$E$370,$E157,$K$6:$K$370))</f>
        <v>0 / 0</v>
      </c>
      <c r="I157" s="28" t="str">
        <f>CONCATENATE(SUMIF($F$6:$F157,$F157,$K$6:$K$370)," / ",SUMIF($F$6:$F$370,$F157,$K$6:$K$370))</f>
        <v>0 / 0</v>
      </c>
      <c r="J157" s="28" t="str">
        <f>CONCATENATE(SUM($K$6:$K157)," / ",SUM($K$6:$K$370))</f>
        <v>651,895 / 651,895</v>
      </c>
      <c r="K157" s="244">
        <v>0</v>
      </c>
      <c r="L157" s="28"/>
      <c r="M157" s="28" t="str">
        <f>CONCATENATE(SUMIF($E$6:$E157,$E157,$P$6:$P$370)," / ",SUMIF($E$6:$E$370,$E157,$P$6:$P$370))</f>
        <v>0 / 0</v>
      </c>
      <c r="N157" s="28" t="str">
        <f ca="1">CONCATENATE(SUMIF($F$6:$F157,$F157,$P157)," / ",SUMIF($F$6:$F$370,$F157,$P$6:$P$370))</f>
        <v>0 / 0</v>
      </c>
      <c r="O157" s="28" t="str">
        <f>CONCATENATE(SUM($P$6:$P157)," / ",SUM($P$6:$P521))</f>
        <v>528 / 528</v>
      </c>
      <c r="P157" s="244">
        <v>0</v>
      </c>
      <c r="Q157" s="28"/>
      <c r="R157" s="245">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399">
        <v>42522</v>
      </c>
      <c r="C158" s="35" t="str">
        <f t="shared" si="11"/>
        <v>Mercredi</v>
      </c>
      <c r="D158" s="35">
        <f t="shared" si="14"/>
        <v>153</v>
      </c>
      <c r="E158" s="124">
        <f t="shared" si="12"/>
        <v>23</v>
      </c>
      <c r="F158" s="124">
        <f t="shared" si="13"/>
        <v>6</v>
      </c>
      <c r="G158" s="27"/>
      <c r="H158" s="28" t="str">
        <f>CONCATENATE(SUMIF($E$6:$E158,$E158,$K$6:$K$370)," / ",SUMIF($E$6:$E$370,$E158,$K$6:$K$370))</f>
        <v>0 / 0</v>
      </c>
      <c r="I158" s="28" t="str">
        <f>CONCATENATE(SUMIF($F$6:$F158,$F158,$K$6:$K$370)," / ",SUMIF($F$6:$F$370,$F158,$K$6:$K$370))</f>
        <v>0 / 0</v>
      </c>
      <c r="J158" s="28" t="str">
        <f>CONCATENATE(SUM($K$6:$K158)," / ",SUM($K$6:$K$370))</f>
        <v>651,895 / 651,895</v>
      </c>
      <c r="K158" s="244">
        <v>0</v>
      </c>
      <c r="L158" s="28"/>
      <c r="M158" s="28" t="str">
        <f>CONCATENATE(SUMIF($E$6:$E158,$E158,$P$6:$P$370)," / ",SUMIF($E$6:$E$370,$E158,$P$6:$P$370))</f>
        <v>0 / 0</v>
      </c>
      <c r="N158" s="28" t="str">
        <f ca="1">CONCATENATE(SUMIF($F$6:$F158,$F158,$P158)," / ",SUMIF($F$6:$F$370,$F158,$P$6:$P$370))</f>
        <v>0 / 0</v>
      </c>
      <c r="O158" s="28" t="str">
        <f>CONCATENATE(SUM($P$6:$P158)," / ",SUM($P$6:$P522))</f>
        <v>528 / 528</v>
      </c>
      <c r="P158" s="244">
        <v>0</v>
      </c>
      <c r="Q158" s="28"/>
      <c r="R158" s="245">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399">
        <v>42523</v>
      </c>
      <c r="C159" s="35" t="str">
        <f t="shared" si="11"/>
        <v>Jeudi</v>
      </c>
      <c r="D159" s="35">
        <f t="shared" si="14"/>
        <v>154</v>
      </c>
      <c r="E159" s="124">
        <f t="shared" si="12"/>
        <v>23</v>
      </c>
      <c r="F159" s="124">
        <f t="shared" si="13"/>
        <v>6</v>
      </c>
      <c r="G159" s="27"/>
      <c r="H159" s="28" t="str">
        <f>CONCATENATE(SUMIF($E$6:$E159,$E159,$K$6:$K$370)," / ",SUMIF($E$6:$E$370,$E159,$K$6:$K$370))</f>
        <v>0 / 0</v>
      </c>
      <c r="I159" s="28" t="str">
        <f>CONCATENATE(SUMIF($F$6:$F159,$F159,$K$6:$K$370)," / ",SUMIF($F$6:$F$370,$F159,$K$6:$K$370))</f>
        <v>0 / 0</v>
      </c>
      <c r="J159" s="28" t="str">
        <f>CONCATENATE(SUM($K$6:$K159)," / ",SUM($K$6:$K$370))</f>
        <v>651,895 / 651,895</v>
      </c>
      <c r="K159" s="244">
        <v>0</v>
      </c>
      <c r="L159" s="28"/>
      <c r="M159" s="28" t="str">
        <f>CONCATENATE(SUMIF($E$6:$E159,$E159,$P$6:$P$370)," / ",SUMIF($E$6:$E$370,$E159,$P$6:$P$370))</f>
        <v>0 / 0</v>
      </c>
      <c r="N159" s="28" t="str">
        <f ca="1">CONCATENATE(SUMIF($F$6:$F159,$F159,$P159)," / ",SUMIF($F$6:$F$370,$F159,$P$6:$P$370))</f>
        <v>0 / 0</v>
      </c>
      <c r="O159" s="28" t="str">
        <f>CONCATENATE(SUM($P$6:$P159)," / ",SUM($P$6:$P523))</f>
        <v>528 / 528</v>
      </c>
      <c r="P159" s="244">
        <v>0</v>
      </c>
      <c r="Q159" s="28"/>
      <c r="R159" s="245">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399">
        <v>42524</v>
      </c>
      <c r="C160" s="35" t="str">
        <f t="shared" si="11"/>
        <v>Vendredi</v>
      </c>
      <c r="D160" s="35">
        <f t="shared" si="14"/>
        <v>155</v>
      </c>
      <c r="E160" s="124">
        <f t="shared" si="12"/>
        <v>23</v>
      </c>
      <c r="F160" s="124">
        <f t="shared" si="13"/>
        <v>6</v>
      </c>
      <c r="G160" s="27"/>
      <c r="H160" s="28" t="str">
        <f>CONCATENATE(SUMIF($E$6:$E160,$E160,$K$6:$K$370)," / ",SUMIF($E$6:$E$370,$E160,$K$6:$K$370))</f>
        <v>0 / 0</v>
      </c>
      <c r="I160" s="28" t="str">
        <f>CONCATENATE(SUMIF($F$6:$F160,$F160,$K$6:$K$370)," / ",SUMIF($F$6:$F$370,$F160,$K$6:$K$370))</f>
        <v>0 / 0</v>
      </c>
      <c r="J160" s="28" t="str">
        <f>CONCATENATE(SUM($K$6:$K160)," / ",SUM($K$6:$K$370))</f>
        <v>651,895 / 651,895</v>
      </c>
      <c r="K160" s="244">
        <v>0</v>
      </c>
      <c r="L160" s="28"/>
      <c r="M160" s="28" t="str">
        <f>CONCATENATE(SUMIF($E$6:$E160,$E160,$P$6:$P$370)," / ",SUMIF($E$6:$E$370,$E160,$P$6:$P$370))</f>
        <v>0 / 0</v>
      </c>
      <c r="N160" s="28" t="str">
        <f ca="1">CONCATENATE(SUMIF($F$6:$F160,$F160,$P160)," / ",SUMIF($F$6:$F$370,$F160,$P$6:$P$370))</f>
        <v>0 / 0</v>
      </c>
      <c r="O160" s="28" t="str">
        <f>CONCATENATE(SUM($P$6:$P160)," / ",SUM($P$6:$P524))</f>
        <v>528 / 528</v>
      </c>
      <c r="P160" s="244">
        <v>0</v>
      </c>
      <c r="Q160" s="28"/>
      <c r="R160" s="245">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399">
        <v>42525</v>
      </c>
      <c r="C161" s="35" t="str">
        <f t="shared" si="11"/>
        <v>Samedi</v>
      </c>
      <c r="D161" s="35">
        <f t="shared" si="14"/>
        <v>156</v>
      </c>
      <c r="E161" s="124">
        <f t="shared" si="12"/>
        <v>23</v>
      </c>
      <c r="F161" s="124">
        <f t="shared" si="13"/>
        <v>6</v>
      </c>
      <c r="G161" s="27"/>
      <c r="H161" s="28" t="str">
        <f>CONCATENATE(SUMIF($E$6:$E161,$E161,$K$6:$K$370)," / ",SUMIF($E$6:$E$370,$E161,$K$6:$K$370))</f>
        <v>0 / 0</v>
      </c>
      <c r="I161" s="28" t="str">
        <f>CONCATENATE(SUMIF($F$6:$F161,$F161,$K$6:$K$370)," / ",SUMIF($F$6:$F$370,$F161,$K$6:$K$370))</f>
        <v>0 / 0</v>
      </c>
      <c r="J161" s="28" t="str">
        <f>CONCATENATE(SUM($K$6:$K161)," / ",SUM($K$6:$K$370))</f>
        <v>651,895 / 651,895</v>
      </c>
      <c r="K161" s="244">
        <v>0</v>
      </c>
      <c r="L161" s="28"/>
      <c r="M161" s="28" t="str">
        <f>CONCATENATE(SUMIF($E$6:$E161,$E161,$P$6:$P$370)," / ",SUMIF($E$6:$E$370,$E161,$P$6:$P$370))</f>
        <v>0 / 0</v>
      </c>
      <c r="N161" s="28" t="str">
        <f ca="1">CONCATENATE(SUMIF($F$6:$F161,$F161,$P161)," / ",SUMIF($F$6:$F$370,$F161,$P$6:$P$370))</f>
        <v>0 / 0</v>
      </c>
      <c r="O161" s="28" t="str">
        <f>CONCATENATE(SUM($P$6:$P161)," / ",SUM($P$6:$P525))</f>
        <v>528 / 528</v>
      </c>
      <c r="P161" s="244">
        <v>0</v>
      </c>
      <c r="Q161" s="28"/>
      <c r="R161" s="245">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399">
        <v>42526</v>
      </c>
      <c r="C162" s="35" t="str">
        <f t="shared" si="11"/>
        <v>Dimanche</v>
      </c>
      <c r="D162" s="35">
        <f t="shared" si="14"/>
        <v>157</v>
      </c>
      <c r="E162" s="124">
        <f t="shared" si="12"/>
        <v>24</v>
      </c>
      <c r="F162" s="124">
        <f t="shared" si="13"/>
        <v>6</v>
      </c>
      <c r="G162" s="27"/>
      <c r="H162" s="28" t="str">
        <f>CONCATENATE(SUMIF($E$6:$E162,$E162,$K$6:$K$370)," / ",SUMIF($E$6:$E$370,$E162,$K$6:$K$370))</f>
        <v>0 / 0</v>
      </c>
      <c r="I162" s="28" t="str">
        <f>CONCATENATE(SUMIF($F$6:$F162,$F162,$K$6:$K$370)," / ",SUMIF($F$6:$F$370,$F162,$K$6:$K$370))</f>
        <v>0 / 0</v>
      </c>
      <c r="J162" s="28" t="str">
        <f>CONCATENATE(SUM($K$6:$K162)," / ",SUM($K$6:$K$370))</f>
        <v>651,895 / 651,895</v>
      </c>
      <c r="K162" s="244">
        <v>0</v>
      </c>
      <c r="L162" s="28"/>
      <c r="M162" s="28" t="str">
        <f>CONCATENATE(SUMIF($E$6:$E162,$E162,$P$6:$P$370)," / ",SUMIF($E$6:$E$370,$E162,$P$6:$P$370))</f>
        <v>0 / 0</v>
      </c>
      <c r="N162" s="28" t="str">
        <f ca="1">CONCATENATE(SUMIF($F$6:$F162,$F162,$P162)," / ",SUMIF($F$6:$F$370,$F162,$P$6:$P$370))</f>
        <v>0 / 0</v>
      </c>
      <c r="O162" s="28" t="str">
        <f>CONCATENATE(SUM($P$6:$P162)," / ",SUM($P$6:$P526))</f>
        <v>528 / 528</v>
      </c>
      <c r="P162" s="244">
        <v>0</v>
      </c>
      <c r="Q162" s="28"/>
      <c r="R162" s="245">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399">
        <v>42527</v>
      </c>
      <c r="C163" s="35" t="str">
        <f t="shared" si="11"/>
        <v>Lundi</v>
      </c>
      <c r="D163" s="35">
        <f t="shared" si="14"/>
        <v>158</v>
      </c>
      <c r="E163" s="124">
        <f t="shared" si="12"/>
        <v>24</v>
      </c>
      <c r="F163" s="124">
        <f t="shared" si="13"/>
        <v>6</v>
      </c>
      <c r="G163" s="27"/>
      <c r="H163" s="28" t="str">
        <f>CONCATENATE(SUMIF($E$6:$E163,$E163,$K$6:$K$370)," / ",SUMIF($E$6:$E$370,$E163,$K$6:$K$370))</f>
        <v>0 / 0</v>
      </c>
      <c r="I163" s="28" t="str">
        <f>CONCATENATE(SUMIF($F$6:$F163,$F163,$K$6:$K$370)," / ",SUMIF($F$6:$F$370,$F163,$K$6:$K$370))</f>
        <v>0 / 0</v>
      </c>
      <c r="J163" s="28" t="str">
        <f>CONCATENATE(SUM($K$6:$K163)," / ",SUM($K$6:$K$370))</f>
        <v>651,895 / 651,895</v>
      </c>
      <c r="K163" s="244">
        <v>0</v>
      </c>
      <c r="L163" s="28"/>
      <c r="M163" s="28" t="str">
        <f>CONCATENATE(SUMIF($E$6:$E163,$E163,$P$6:$P$370)," / ",SUMIF($E$6:$E$370,$E163,$P$6:$P$370))</f>
        <v>0 / 0</v>
      </c>
      <c r="N163" s="28" t="str">
        <f ca="1">CONCATENATE(SUMIF($F$6:$F163,$F163,$P163)," / ",SUMIF($F$6:$F$370,$F163,$P$6:$P$370))</f>
        <v>0 / 0</v>
      </c>
      <c r="O163" s="28" t="str">
        <f>CONCATENATE(SUM($P$6:$P163)," / ",SUM($P$6:$P527))</f>
        <v>528 / 528</v>
      </c>
      <c r="P163" s="244">
        <v>0</v>
      </c>
      <c r="Q163" s="28"/>
      <c r="R163" s="245">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399">
        <v>42528</v>
      </c>
      <c r="C164" s="35" t="str">
        <f t="shared" si="11"/>
        <v>Mardi</v>
      </c>
      <c r="D164" s="35">
        <f t="shared" si="14"/>
        <v>159</v>
      </c>
      <c r="E164" s="124">
        <f t="shared" si="12"/>
        <v>24</v>
      </c>
      <c r="F164" s="124">
        <f t="shared" si="13"/>
        <v>6</v>
      </c>
      <c r="G164" s="27"/>
      <c r="H164" s="28" t="str">
        <f>CONCATENATE(SUMIF($E$6:$E164,$E164,$K$6:$K$370)," / ",SUMIF($E$6:$E$370,$E164,$K$6:$K$370))</f>
        <v>0 / 0</v>
      </c>
      <c r="I164" s="28" t="str">
        <f>CONCATENATE(SUMIF($F$6:$F164,$F164,$K$6:$K$370)," / ",SUMIF($F$6:$F$370,$F164,$K$6:$K$370))</f>
        <v>0 / 0</v>
      </c>
      <c r="J164" s="28" t="str">
        <f>CONCATENATE(SUM($K$6:$K164)," / ",SUM($K$6:$K$370))</f>
        <v>651,895 / 651,895</v>
      </c>
      <c r="K164" s="244">
        <v>0</v>
      </c>
      <c r="L164" s="28"/>
      <c r="M164" s="28" t="str">
        <f>CONCATENATE(SUMIF($E$6:$E164,$E164,$P$6:$P$370)," / ",SUMIF($E$6:$E$370,$E164,$P$6:$P$370))</f>
        <v>0 / 0</v>
      </c>
      <c r="N164" s="28" t="str">
        <f ca="1">CONCATENATE(SUMIF($F$6:$F164,$F164,$P164)," / ",SUMIF($F$6:$F$370,$F164,$P$6:$P$370))</f>
        <v>0 / 0</v>
      </c>
      <c r="O164" s="28" t="str">
        <f>CONCATENATE(SUM($P$6:$P164)," / ",SUM($P$6:$P528))</f>
        <v>528 / 528</v>
      </c>
      <c r="P164" s="244">
        <v>0</v>
      </c>
      <c r="Q164" s="28"/>
      <c r="R164" s="245">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399">
        <v>42529</v>
      </c>
      <c r="C165" s="35" t="str">
        <f t="shared" si="11"/>
        <v>Mercredi</v>
      </c>
      <c r="D165" s="35">
        <f t="shared" si="14"/>
        <v>160</v>
      </c>
      <c r="E165" s="124">
        <f t="shared" si="12"/>
        <v>24</v>
      </c>
      <c r="F165" s="124">
        <f t="shared" si="13"/>
        <v>6</v>
      </c>
      <c r="G165" s="27"/>
      <c r="H165" s="28" t="str">
        <f>CONCATENATE(SUMIF($E$6:$E165,$E165,$K$6:$K$370)," / ",SUMIF($E$6:$E$370,$E165,$K$6:$K$370))</f>
        <v>0 / 0</v>
      </c>
      <c r="I165" s="28" t="str">
        <f>CONCATENATE(SUMIF($F$6:$F165,$F165,$K$6:$K$370)," / ",SUMIF($F$6:$F$370,$F165,$K$6:$K$370))</f>
        <v>0 / 0</v>
      </c>
      <c r="J165" s="28" t="str">
        <f>CONCATENATE(SUM($K$6:$K165)," / ",SUM($K$6:$K$370))</f>
        <v>651,895 / 651,895</v>
      </c>
      <c r="K165" s="244">
        <v>0</v>
      </c>
      <c r="L165" s="28"/>
      <c r="M165" s="28" t="str">
        <f>CONCATENATE(SUMIF($E$6:$E165,$E165,$P$6:$P$370)," / ",SUMIF($E$6:$E$370,$E165,$P$6:$P$370))</f>
        <v>0 / 0</v>
      </c>
      <c r="N165" s="28" t="str">
        <f ca="1">CONCATENATE(SUMIF($F$6:$F165,$F165,$P165)," / ",SUMIF($F$6:$F$370,$F165,$P$6:$P$370))</f>
        <v>0 / 0</v>
      </c>
      <c r="O165" s="28" t="str">
        <f>CONCATENATE(SUM($P$6:$P165)," / ",SUM($P$6:$P529))</f>
        <v>528 / 528</v>
      </c>
      <c r="P165" s="244">
        <v>0</v>
      </c>
      <c r="Q165" s="28"/>
      <c r="R165" s="245">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399">
        <v>42530</v>
      </c>
      <c r="C166" s="35" t="str">
        <f t="shared" si="11"/>
        <v>Jeudi</v>
      </c>
      <c r="D166" s="35">
        <f t="shared" si="14"/>
        <v>161</v>
      </c>
      <c r="E166" s="124">
        <f t="shared" si="12"/>
        <v>24</v>
      </c>
      <c r="F166" s="124">
        <f t="shared" si="13"/>
        <v>6</v>
      </c>
      <c r="G166" s="27"/>
      <c r="H166" s="28" t="str">
        <f>CONCATENATE(SUMIF($E$6:$E166,$E166,$K$6:$K$370)," / ",SUMIF($E$6:$E$370,$E166,$K$6:$K$370))</f>
        <v>0 / 0</v>
      </c>
      <c r="I166" s="28" t="str">
        <f>CONCATENATE(SUMIF($F$6:$F166,$F166,$K$6:$K$370)," / ",SUMIF($F$6:$F$370,$F166,$K$6:$K$370))</f>
        <v>0 / 0</v>
      </c>
      <c r="J166" s="28" t="str">
        <f>CONCATENATE(SUM($K$6:$K166)," / ",SUM($K$6:$K$370))</f>
        <v>651,895 / 651,895</v>
      </c>
      <c r="K166" s="244">
        <v>0</v>
      </c>
      <c r="L166" s="28"/>
      <c r="M166" s="28" t="str">
        <f>CONCATENATE(SUMIF($E$6:$E166,$E166,$P$6:$P$370)," / ",SUMIF($E$6:$E$370,$E166,$P$6:$P$370))</f>
        <v>0 / 0</v>
      </c>
      <c r="N166" s="28" t="str">
        <f ca="1">CONCATENATE(SUMIF($F$6:$F166,$F166,$P166)," / ",SUMIF($F$6:$F$370,$F166,$P$6:$P$370))</f>
        <v>0 / 0</v>
      </c>
      <c r="O166" s="28" t="str">
        <f>CONCATENATE(SUM($P$6:$P166)," / ",SUM($P$6:$P530))</f>
        <v>528 / 528</v>
      </c>
      <c r="P166" s="244">
        <v>0</v>
      </c>
      <c r="Q166" s="28"/>
      <c r="R166" s="245">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399">
        <v>42531</v>
      </c>
      <c r="C167" s="35" t="str">
        <f t="shared" si="11"/>
        <v>Vendredi</v>
      </c>
      <c r="D167" s="35">
        <f t="shared" si="14"/>
        <v>162</v>
      </c>
      <c r="E167" s="124">
        <f t="shared" si="12"/>
        <v>24</v>
      </c>
      <c r="F167" s="124">
        <f t="shared" si="13"/>
        <v>6</v>
      </c>
      <c r="G167" s="27"/>
      <c r="H167" s="28" t="str">
        <f>CONCATENATE(SUMIF($E$6:$E167,$E167,$K$6:$K$370)," / ",SUMIF($E$6:$E$370,$E167,$K$6:$K$370))</f>
        <v>0 / 0</v>
      </c>
      <c r="I167" s="28" t="str">
        <f>CONCATENATE(SUMIF($F$6:$F167,$F167,$K$6:$K$370)," / ",SUMIF($F$6:$F$370,$F167,$K$6:$K$370))</f>
        <v>0 / 0</v>
      </c>
      <c r="J167" s="28" t="str">
        <f>CONCATENATE(SUM($K$6:$K167)," / ",SUM($K$6:$K$370))</f>
        <v>651,895 / 651,895</v>
      </c>
      <c r="K167" s="244">
        <v>0</v>
      </c>
      <c r="L167" s="28"/>
      <c r="M167" s="28" t="str">
        <f>CONCATENATE(SUMIF($E$6:$E167,$E167,$P$6:$P$370)," / ",SUMIF($E$6:$E$370,$E167,$P$6:$P$370))</f>
        <v>0 / 0</v>
      </c>
      <c r="N167" s="28" t="str">
        <f ca="1">CONCATENATE(SUMIF($F$6:$F167,$F167,$P167)," / ",SUMIF($F$6:$F$370,$F167,$P$6:$P$370))</f>
        <v>0 / 0</v>
      </c>
      <c r="O167" s="28" t="str">
        <f>CONCATENATE(SUM($P$6:$P167)," / ",SUM($P$6:$P531))</f>
        <v>528 / 528</v>
      </c>
      <c r="P167" s="244">
        <v>0</v>
      </c>
      <c r="Q167" s="28"/>
      <c r="R167" s="245">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399">
        <v>42532</v>
      </c>
      <c r="C168" s="35" t="str">
        <f t="shared" si="11"/>
        <v>Samedi</v>
      </c>
      <c r="D168" s="35">
        <f t="shared" si="14"/>
        <v>163</v>
      </c>
      <c r="E168" s="124">
        <f t="shared" si="12"/>
        <v>24</v>
      </c>
      <c r="F168" s="124">
        <f t="shared" si="13"/>
        <v>6</v>
      </c>
      <c r="G168" s="27"/>
      <c r="H168" s="28" t="str">
        <f>CONCATENATE(SUMIF($E$6:$E168,$E168,$K$6:$K$370)," / ",SUMIF($E$6:$E$370,$E168,$K$6:$K$370))</f>
        <v>0 / 0</v>
      </c>
      <c r="I168" s="28" t="str">
        <f>CONCATENATE(SUMIF($F$6:$F168,$F168,$K$6:$K$370)," / ",SUMIF($F$6:$F$370,$F168,$K$6:$K$370))</f>
        <v>0 / 0</v>
      </c>
      <c r="J168" s="28" t="str">
        <f>CONCATENATE(SUM($K$6:$K168)," / ",SUM($K$6:$K$370))</f>
        <v>651,895 / 651,895</v>
      </c>
      <c r="K168" s="244">
        <v>0</v>
      </c>
      <c r="L168" s="28"/>
      <c r="M168" s="28" t="str">
        <f>CONCATENATE(SUMIF($E$6:$E168,$E168,$P$6:$P$370)," / ",SUMIF($E$6:$E$370,$E168,$P$6:$P$370))</f>
        <v>0 / 0</v>
      </c>
      <c r="N168" s="28" t="str">
        <f ca="1">CONCATENATE(SUMIF($F$6:$F168,$F168,$P168)," / ",SUMIF($F$6:$F$370,$F168,$P$6:$P$370))</f>
        <v>0 / 0</v>
      </c>
      <c r="O168" s="28" t="str">
        <f>CONCATENATE(SUM($P$6:$P168)," / ",SUM($P$6:$P532))</f>
        <v>528 / 528</v>
      </c>
      <c r="P168" s="244">
        <v>0</v>
      </c>
      <c r="Q168" s="28"/>
      <c r="R168" s="245">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399">
        <v>42533</v>
      </c>
      <c r="C169" s="35" t="str">
        <f t="shared" si="11"/>
        <v>Dimanche</v>
      </c>
      <c r="D169" s="35">
        <f t="shared" si="14"/>
        <v>164</v>
      </c>
      <c r="E169" s="124">
        <f t="shared" si="12"/>
        <v>25</v>
      </c>
      <c r="F169" s="124">
        <f t="shared" si="13"/>
        <v>6</v>
      </c>
      <c r="G169" s="27"/>
      <c r="H169" s="28" t="str">
        <f>CONCATENATE(SUMIF($E$6:$E169,$E169,$K$6:$K$370)," / ",SUMIF($E$6:$E$370,$E169,$K$6:$K$370))</f>
        <v>0 / 0</v>
      </c>
      <c r="I169" s="28" t="str">
        <f>CONCATENATE(SUMIF($F$6:$F169,$F169,$K$6:$K$370)," / ",SUMIF($F$6:$F$370,$F169,$K$6:$K$370))</f>
        <v>0 / 0</v>
      </c>
      <c r="J169" s="28" t="str">
        <f>CONCATENATE(SUM($K$6:$K169)," / ",SUM($K$6:$K$370))</f>
        <v>651,895 / 651,895</v>
      </c>
      <c r="K169" s="244">
        <v>0</v>
      </c>
      <c r="L169" s="28"/>
      <c r="M169" s="28" t="str">
        <f>CONCATENATE(SUMIF($E$6:$E169,$E169,$P$6:$P$370)," / ",SUMIF($E$6:$E$370,$E169,$P$6:$P$370))</f>
        <v>0 / 0</v>
      </c>
      <c r="N169" s="28" t="str">
        <f ca="1">CONCATENATE(SUMIF($F$6:$F169,$F169,$P169)," / ",SUMIF($F$6:$F$370,$F169,$P$6:$P$370))</f>
        <v>0 / 0</v>
      </c>
      <c r="O169" s="28" t="str">
        <f>CONCATENATE(SUM($P$6:$P169)," / ",SUM($P$6:$P533))</f>
        <v>528 / 528</v>
      </c>
      <c r="P169" s="244">
        <v>0</v>
      </c>
      <c r="Q169" s="28"/>
      <c r="R169" s="245">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399">
        <v>42534</v>
      </c>
      <c r="C170" s="35" t="str">
        <f t="shared" si="11"/>
        <v>Lundi</v>
      </c>
      <c r="D170" s="35">
        <f t="shared" si="14"/>
        <v>165</v>
      </c>
      <c r="E170" s="124">
        <f t="shared" si="12"/>
        <v>25</v>
      </c>
      <c r="F170" s="124">
        <f t="shared" si="13"/>
        <v>6</v>
      </c>
      <c r="G170" s="27"/>
      <c r="H170" s="28" t="str">
        <f>CONCATENATE(SUMIF($E$6:$E170,$E170,$K$6:$K$370)," / ",SUMIF($E$6:$E$370,$E170,$K$6:$K$370))</f>
        <v>0 / 0</v>
      </c>
      <c r="I170" s="28" t="str">
        <f>CONCATENATE(SUMIF($F$6:$F170,$F170,$K$6:$K$370)," / ",SUMIF($F$6:$F$370,$F170,$K$6:$K$370))</f>
        <v>0 / 0</v>
      </c>
      <c r="J170" s="28" t="str">
        <f>CONCATENATE(SUM($K$6:$K170)," / ",SUM($K$6:$K$370))</f>
        <v>651,895 / 651,895</v>
      </c>
      <c r="K170" s="244">
        <v>0</v>
      </c>
      <c r="L170" s="28"/>
      <c r="M170" s="28" t="str">
        <f>CONCATENATE(SUMIF($E$6:$E170,$E170,$P$6:$P$370)," / ",SUMIF($E$6:$E$370,$E170,$P$6:$P$370))</f>
        <v>0 / 0</v>
      </c>
      <c r="N170" s="28" t="str">
        <f ca="1">CONCATENATE(SUMIF($F$6:$F170,$F170,$P170)," / ",SUMIF($F$6:$F$370,$F170,$P$6:$P$370))</f>
        <v>0 / 0</v>
      </c>
      <c r="O170" s="28" t="str">
        <f>CONCATENATE(SUM($P$6:$P170)," / ",SUM($P$6:$P534))</f>
        <v>528 / 528</v>
      </c>
      <c r="P170" s="244">
        <v>0</v>
      </c>
      <c r="Q170" s="28"/>
      <c r="R170" s="245">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399">
        <v>42535</v>
      </c>
      <c r="C171" s="35" t="str">
        <f t="shared" si="11"/>
        <v>Mardi</v>
      </c>
      <c r="D171" s="35">
        <f t="shared" si="14"/>
        <v>166</v>
      </c>
      <c r="E171" s="124">
        <f t="shared" si="12"/>
        <v>25</v>
      </c>
      <c r="F171" s="124">
        <f t="shared" si="13"/>
        <v>6</v>
      </c>
      <c r="G171" s="27"/>
      <c r="H171" s="28" t="str">
        <f>CONCATENATE(SUMIF($E$6:$E171,$E171,$K$6:$K$370)," / ",SUMIF($E$6:$E$370,$E171,$K$6:$K$370))</f>
        <v>0 / 0</v>
      </c>
      <c r="I171" s="28" t="str">
        <f>CONCATENATE(SUMIF($F$6:$F171,$F171,$K$6:$K$370)," / ",SUMIF($F$6:$F$370,$F171,$K$6:$K$370))</f>
        <v>0 / 0</v>
      </c>
      <c r="J171" s="28" t="str">
        <f>CONCATENATE(SUM($K$6:$K171)," / ",SUM($K$6:$K$370))</f>
        <v>651,895 / 651,895</v>
      </c>
      <c r="K171" s="244">
        <v>0</v>
      </c>
      <c r="L171" s="28"/>
      <c r="M171" s="28" t="str">
        <f>CONCATENATE(SUMIF($E$6:$E171,$E171,$P$6:$P$370)," / ",SUMIF($E$6:$E$370,$E171,$P$6:$P$370))</f>
        <v>0 / 0</v>
      </c>
      <c r="N171" s="28" t="str">
        <f ca="1">CONCATENATE(SUMIF($F$6:$F171,$F171,$P171)," / ",SUMIF($F$6:$F$370,$F171,$P$6:$P$370))</f>
        <v>0 / 0</v>
      </c>
      <c r="O171" s="28" t="str">
        <f>CONCATENATE(SUM($P$6:$P171)," / ",SUM($P$6:$P535))</f>
        <v>528 / 528</v>
      </c>
      <c r="P171" s="244">
        <v>0</v>
      </c>
      <c r="Q171" s="28"/>
      <c r="R171" s="245">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399">
        <v>42536</v>
      </c>
      <c r="C172" s="35" t="str">
        <f t="shared" si="11"/>
        <v>Mercredi</v>
      </c>
      <c r="D172" s="35">
        <f t="shared" si="14"/>
        <v>167</v>
      </c>
      <c r="E172" s="124">
        <f t="shared" si="12"/>
        <v>25</v>
      </c>
      <c r="F172" s="124">
        <f t="shared" si="13"/>
        <v>6</v>
      </c>
      <c r="G172" s="27"/>
      <c r="H172" s="28" t="str">
        <f>CONCATENATE(SUMIF($E$6:$E172,$E172,$K$6:$K$370)," / ",SUMIF($E$6:$E$370,$E172,$K$6:$K$370))</f>
        <v>0 / 0</v>
      </c>
      <c r="I172" s="28" t="str">
        <f>CONCATENATE(SUMIF($F$6:$F172,$F172,$K$6:$K$370)," / ",SUMIF($F$6:$F$370,$F172,$K$6:$K$370))</f>
        <v>0 / 0</v>
      </c>
      <c r="J172" s="28" t="str">
        <f>CONCATENATE(SUM($K$6:$K172)," / ",SUM($K$6:$K$370))</f>
        <v>651,895 / 651,895</v>
      </c>
      <c r="K172" s="244">
        <v>0</v>
      </c>
      <c r="L172" s="28"/>
      <c r="M172" s="28" t="str">
        <f>CONCATENATE(SUMIF($E$6:$E172,$E172,$P$6:$P$370)," / ",SUMIF($E$6:$E$370,$E172,$P$6:$P$370))</f>
        <v>0 / 0</v>
      </c>
      <c r="N172" s="28" t="str">
        <f ca="1">CONCATENATE(SUMIF($F$6:$F172,$F172,$P172)," / ",SUMIF($F$6:$F$370,$F172,$P$6:$P$370))</f>
        <v>0 / 0</v>
      </c>
      <c r="O172" s="28" t="str">
        <f>CONCATENATE(SUM($P$6:$P172)," / ",SUM($P$6:$P536))</f>
        <v>528 / 528</v>
      </c>
      <c r="P172" s="244">
        <v>0</v>
      </c>
      <c r="Q172" s="28"/>
      <c r="R172" s="245">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399">
        <v>42537</v>
      </c>
      <c r="C173" s="35" t="str">
        <f t="shared" si="11"/>
        <v>Jeudi</v>
      </c>
      <c r="D173" s="35">
        <f t="shared" si="14"/>
        <v>168</v>
      </c>
      <c r="E173" s="124">
        <f t="shared" si="12"/>
        <v>25</v>
      </c>
      <c r="F173" s="124">
        <f t="shared" si="13"/>
        <v>6</v>
      </c>
      <c r="G173" s="27"/>
      <c r="H173" s="28" t="str">
        <f>CONCATENATE(SUMIF($E$6:$E173,$E173,$K$6:$K$370)," / ",SUMIF($E$6:$E$370,$E173,$K$6:$K$370))</f>
        <v>0 / 0</v>
      </c>
      <c r="I173" s="28" t="str">
        <f>CONCATENATE(SUMIF($F$6:$F173,$F173,$K$6:$K$370)," / ",SUMIF($F$6:$F$370,$F173,$K$6:$K$370))</f>
        <v>0 / 0</v>
      </c>
      <c r="J173" s="28" t="str">
        <f>CONCATENATE(SUM($K$6:$K173)," / ",SUM($K$6:$K$370))</f>
        <v>651,895 / 651,895</v>
      </c>
      <c r="K173" s="244">
        <v>0</v>
      </c>
      <c r="L173" s="28"/>
      <c r="M173" s="28" t="str">
        <f>CONCATENATE(SUMIF($E$6:$E173,$E173,$P$6:$P$370)," / ",SUMIF($E$6:$E$370,$E173,$P$6:$P$370))</f>
        <v>0 / 0</v>
      </c>
      <c r="N173" s="28" t="str">
        <f ca="1">CONCATENATE(SUMIF($F$6:$F173,$F173,$P173)," / ",SUMIF($F$6:$F$370,$F173,$P$6:$P$370))</f>
        <v>0 / 0</v>
      </c>
      <c r="O173" s="28" t="str">
        <f>CONCATENATE(SUM($P$6:$P173)," / ",SUM($P$6:$P537))</f>
        <v>528 / 528</v>
      </c>
      <c r="P173" s="244">
        <v>0</v>
      </c>
      <c r="Q173" s="28"/>
      <c r="R173" s="245">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399">
        <v>42538</v>
      </c>
      <c r="C174" s="35" t="str">
        <f t="shared" si="11"/>
        <v>Vendredi</v>
      </c>
      <c r="D174" s="35">
        <f t="shared" si="14"/>
        <v>169</v>
      </c>
      <c r="E174" s="124">
        <f t="shared" si="12"/>
        <v>25</v>
      </c>
      <c r="F174" s="124">
        <f t="shared" si="13"/>
        <v>6</v>
      </c>
      <c r="G174" s="27"/>
      <c r="H174" s="28" t="str">
        <f>CONCATENATE(SUMIF($E$6:$E174,$E174,$K$6:$K$370)," / ",SUMIF($E$6:$E$370,$E174,$K$6:$K$370))</f>
        <v>0 / 0</v>
      </c>
      <c r="I174" s="28" t="str">
        <f>CONCATENATE(SUMIF($F$6:$F174,$F174,$K$6:$K$370)," / ",SUMIF($F$6:$F$370,$F174,$K$6:$K$370))</f>
        <v>0 / 0</v>
      </c>
      <c r="J174" s="28" t="str">
        <f>CONCATENATE(SUM($K$6:$K174)," / ",SUM($K$6:$K$370))</f>
        <v>651,895 / 651,895</v>
      </c>
      <c r="K174" s="244">
        <v>0</v>
      </c>
      <c r="L174" s="28"/>
      <c r="M174" s="28" t="str">
        <f>CONCATENATE(SUMIF($E$6:$E174,$E174,$P$6:$P$370)," / ",SUMIF($E$6:$E$370,$E174,$P$6:$P$370))</f>
        <v>0 / 0</v>
      </c>
      <c r="N174" s="28" t="str">
        <f ca="1">CONCATENATE(SUMIF($F$6:$F174,$F174,$P174)," / ",SUMIF($F$6:$F$370,$F174,$P$6:$P$370))</f>
        <v>0 / 0</v>
      </c>
      <c r="O174" s="28" t="str">
        <f>CONCATENATE(SUM($P$6:$P174)," / ",SUM($P$6:$P538))</f>
        <v>528 / 528</v>
      </c>
      <c r="P174" s="244">
        <v>0</v>
      </c>
      <c r="Q174" s="28"/>
      <c r="R174" s="245">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399">
        <v>42539</v>
      </c>
      <c r="C175" s="35" t="str">
        <f t="shared" si="11"/>
        <v>Samedi</v>
      </c>
      <c r="D175" s="35">
        <f t="shared" si="14"/>
        <v>170</v>
      </c>
      <c r="E175" s="124">
        <f t="shared" si="12"/>
        <v>25</v>
      </c>
      <c r="F175" s="124">
        <f t="shared" si="13"/>
        <v>6</v>
      </c>
      <c r="G175" s="27"/>
      <c r="H175" s="28" t="str">
        <f>CONCATENATE(SUMIF($E$6:$E175,$E175,$K$6:$K$370)," / ",SUMIF($E$6:$E$370,$E175,$K$6:$K$370))</f>
        <v>0 / 0</v>
      </c>
      <c r="I175" s="28" t="str">
        <f>CONCATENATE(SUMIF($F$6:$F175,$F175,$K$6:$K$370)," / ",SUMIF($F$6:$F$370,$F175,$K$6:$K$370))</f>
        <v>0 / 0</v>
      </c>
      <c r="J175" s="28" t="str">
        <f>CONCATENATE(SUM($K$6:$K175)," / ",SUM($K$6:$K$370))</f>
        <v>651,895 / 651,895</v>
      </c>
      <c r="K175" s="244">
        <v>0</v>
      </c>
      <c r="L175" s="28"/>
      <c r="M175" s="28" t="str">
        <f>CONCATENATE(SUMIF($E$6:$E175,$E175,$P$6:$P$370)," / ",SUMIF($E$6:$E$370,$E175,$P$6:$P$370))</f>
        <v>0 / 0</v>
      </c>
      <c r="N175" s="28" t="str">
        <f ca="1">CONCATENATE(SUMIF($F$6:$F175,$F175,$P175)," / ",SUMIF($F$6:$F$370,$F175,$P$6:$P$370))</f>
        <v>0 / 0</v>
      </c>
      <c r="O175" s="28" t="str">
        <f>CONCATENATE(SUM($P$6:$P175)," / ",SUM($P$6:$P539))</f>
        <v>528 / 528</v>
      </c>
      <c r="P175" s="244">
        <v>0</v>
      </c>
      <c r="Q175" s="28"/>
      <c r="R175" s="245">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399">
        <v>42540</v>
      </c>
      <c r="C176" s="35" t="str">
        <f t="shared" si="11"/>
        <v>Dimanche</v>
      </c>
      <c r="D176" s="35">
        <f t="shared" si="14"/>
        <v>171</v>
      </c>
      <c r="E176" s="124">
        <f t="shared" si="12"/>
        <v>26</v>
      </c>
      <c r="F176" s="124">
        <f t="shared" si="13"/>
        <v>6</v>
      </c>
      <c r="G176" s="27"/>
      <c r="H176" s="28" t="str">
        <f>CONCATENATE(SUMIF($E$6:$E176,$E176,$K$6:$K$370)," / ",SUMIF($E$6:$E$370,$E176,$K$6:$K$370))</f>
        <v>0 / 0</v>
      </c>
      <c r="I176" s="28" t="str">
        <f>CONCATENATE(SUMIF($F$6:$F176,$F176,$K$6:$K$370)," / ",SUMIF($F$6:$F$370,$F176,$K$6:$K$370))</f>
        <v>0 / 0</v>
      </c>
      <c r="J176" s="28" t="str">
        <f>CONCATENATE(SUM($K$6:$K176)," / ",SUM($K$6:$K$370))</f>
        <v>651,895 / 651,895</v>
      </c>
      <c r="K176" s="244">
        <v>0</v>
      </c>
      <c r="L176" s="28"/>
      <c r="M176" s="28" t="str">
        <f>CONCATENATE(SUMIF($E$6:$E176,$E176,$P$6:$P$370)," / ",SUMIF($E$6:$E$370,$E176,$P$6:$P$370))</f>
        <v>0 / 0</v>
      </c>
      <c r="N176" s="28" t="str">
        <f ca="1">CONCATENATE(SUMIF($F$6:$F176,$F176,$P176)," / ",SUMIF($F$6:$F$370,$F176,$P$6:$P$370))</f>
        <v>0 / 0</v>
      </c>
      <c r="O176" s="28" t="str">
        <f>CONCATENATE(SUM($P$6:$P176)," / ",SUM($P$6:$P540))</f>
        <v>528 / 528</v>
      </c>
      <c r="P176" s="244">
        <v>0</v>
      </c>
      <c r="Q176" s="28"/>
      <c r="R176" s="245">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399">
        <v>42541</v>
      </c>
      <c r="C177" s="35" t="str">
        <f t="shared" si="11"/>
        <v>Lundi</v>
      </c>
      <c r="D177" s="35">
        <f t="shared" si="14"/>
        <v>172</v>
      </c>
      <c r="E177" s="124">
        <f t="shared" si="12"/>
        <v>26</v>
      </c>
      <c r="F177" s="124">
        <f t="shared" si="13"/>
        <v>6</v>
      </c>
      <c r="G177" s="27"/>
      <c r="H177" s="28" t="str">
        <f>CONCATENATE(SUMIF($E$6:$E177,$E177,$K$6:$K$370)," / ",SUMIF($E$6:$E$370,$E177,$K$6:$K$370))</f>
        <v>0 / 0</v>
      </c>
      <c r="I177" s="28" t="str">
        <f>CONCATENATE(SUMIF($F$6:$F177,$F177,$K$6:$K$370)," / ",SUMIF($F$6:$F$370,$F177,$K$6:$K$370))</f>
        <v>0 / 0</v>
      </c>
      <c r="J177" s="28" t="str">
        <f>CONCATENATE(SUM($K$6:$K177)," / ",SUM($K$6:$K$370))</f>
        <v>651,895 / 651,895</v>
      </c>
      <c r="K177" s="244">
        <v>0</v>
      </c>
      <c r="L177" s="28"/>
      <c r="M177" s="28" t="str">
        <f>CONCATENATE(SUMIF($E$6:$E177,$E177,$P$6:$P$370)," / ",SUMIF($E$6:$E$370,$E177,$P$6:$P$370))</f>
        <v>0 / 0</v>
      </c>
      <c r="N177" s="28" t="str">
        <f ca="1">CONCATENATE(SUMIF($F$6:$F177,$F177,$P177)," / ",SUMIF($F$6:$F$370,$F177,$P$6:$P$370))</f>
        <v>0 / 0</v>
      </c>
      <c r="O177" s="28" t="str">
        <f>CONCATENATE(SUM($P$6:$P177)," / ",SUM($P$6:$P541))</f>
        <v>528 / 528</v>
      </c>
      <c r="P177" s="244">
        <v>0</v>
      </c>
      <c r="Q177" s="28"/>
      <c r="R177" s="245">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399">
        <v>42542</v>
      </c>
      <c r="C178" s="35" t="str">
        <f t="shared" si="11"/>
        <v>Mardi</v>
      </c>
      <c r="D178" s="35">
        <f t="shared" si="14"/>
        <v>173</v>
      </c>
      <c r="E178" s="124">
        <f t="shared" si="12"/>
        <v>26</v>
      </c>
      <c r="F178" s="124">
        <f t="shared" si="13"/>
        <v>6</v>
      </c>
      <c r="G178" s="27"/>
      <c r="H178" s="28" t="str">
        <f>CONCATENATE(SUMIF($E$6:$E178,$E178,$K$6:$K$370)," / ",SUMIF($E$6:$E$370,$E178,$K$6:$K$370))</f>
        <v>0 / 0</v>
      </c>
      <c r="I178" s="28" t="str">
        <f>CONCATENATE(SUMIF($F$6:$F178,$F178,$K$6:$K$370)," / ",SUMIF($F$6:$F$370,$F178,$K$6:$K$370))</f>
        <v>0 / 0</v>
      </c>
      <c r="J178" s="28" t="str">
        <f>CONCATENATE(SUM($K$6:$K178)," / ",SUM($K$6:$K$370))</f>
        <v>651,895 / 651,895</v>
      </c>
      <c r="K178" s="244">
        <v>0</v>
      </c>
      <c r="L178" s="28"/>
      <c r="M178" s="28" t="str">
        <f>CONCATENATE(SUMIF($E$6:$E178,$E178,$P$6:$P$370)," / ",SUMIF($E$6:$E$370,$E178,$P$6:$P$370))</f>
        <v>0 / 0</v>
      </c>
      <c r="N178" s="28" t="str">
        <f ca="1">CONCATENATE(SUMIF($F$6:$F178,$F178,$P178)," / ",SUMIF($F$6:$F$370,$F178,$P$6:$P$370))</f>
        <v>0 / 0</v>
      </c>
      <c r="O178" s="28" t="str">
        <f>CONCATENATE(SUM($P$6:$P178)," / ",SUM($P$6:$P542))</f>
        <v>528 / 528</v>
      </c>
      <c r="P178" s="244">
        <v>0</v>
      </c>
      <c r="Q178" s="28"/>
      <c r="R178" s="245">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399">
        <v>42543</v>
      </c>
      <c r="C179" s="35" t="str">
        <f t="shared" si="11"/>
        <v>Mercredi</v>
      </c>
      <c r="D179" s="35">
        <f t="shared" si="14"/>
        <v>174</v>
      </c>
      <c r="E179" s="124">
        <f t="shared" si="12"/>
        <v>26</v>
      </c>
      <c r="F179" s="124">
        <f t="shared" si="13"/>
        <v>6</v>
      </c>
      <c r="G179" s="27"/>
      <c r="H179" s="28" t="str">
        <f>CONCATENATE(SUMIF($E$6:$E179,$E179,$K$6:$K$370)," / ",SUMIF($E$6:$E$370,$E179,$K$6:$K$370))</f>
        <v>0 / 0</v>
      </c>
      <c r="I179" s="28" t="str">
        <f>CONCATENATE(SUMIF($F$6:$F179,$F179,$K$6:$K$370)," / ",SUMIF($F$6:$F$370,$F179,$K$6:$K$370))</f>
        <v>0 / 0</v>
      </c>
      <c r="J179" s="28" t="str">
        <f>CONCATENATE(SUM($K$6:$K179)," / ",SUM($K$6:$K$370))</f>
        <v>651,895 / 651,895</v>
      </c>
      <c r="K179" s="244">
        <v>0</v>
      </c>
      <c r="L179" s="28"/>
      <c r="M179" s="28" t="str">
        <f>CONCATENATE(SUMIF($E$6:$E179,$E179,$P$6:$P$370)," / ",SUMIF($E$6:$E$370,$E179,$P$6:$P$370))</f>
        <v>0 / 0</v>
      </c>
      <c r="N179" s="28" t="str">
        <f ca="1">CONCATENATE(SUMIF($F$6:$F179,$F179,$P179)," / ",SUMIF($F$6:$F$370,$F179,$P$6:$P$370))</f>
        <v>0 / 0</v>
      </c>
      <c r="O179" s="28" t="str">
        <f>CONCATENATE(SUM($P$6:$P179)," / ",SUM($P$6:$P543))</f>
        <v>528 / 528</v>
      </c>
      <c r="P179" s="244">
        <v>0</v>
      </c>
      <c r="Q179" s="28"/>
      <c r="R179" s="245">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399">
        <v>42544</v>
      </c>
      <c r="C180" s="35" t="str">
        <f t="shared" si="11"/>
        <v>Jeudi</v>
      </c>
      <c r="D180" s="35">
        <f t="shared" si="14"/>
        <v>175</v>
      </c>
      <c r="E180" s="124">
        <f t="shared" si="12"/>
        <v>26</v>
      </c>
      <c r="F180" s="124">
        <f t="shared" si="13"/>
        <v>6</v>
      </c>
      <c r="G180" s="27"/>
      <c r="H180" s="28" t="str">
        <f>CONCATENATE(SUMIF($E$6:$E180,$E180,$K$6:$K$370)," / ",SUMIF($E$6:$E$370,$E180,$K$6:$K$370))</f>
        <v>0 / 0</v>
      </c>
      <c r="I180" s="28" t="str">
        <f>CONCATENATE(SUMIF($F$6:$F180,$F180,$K$6:$K$370)," / ",SUMIF($F$6:$F$370,$F180,$K$6:$K$370))</f>
        <v>0 / 0</v>
      </c>
      <c r="J180" s="28" t="str">
        <f>CONCATENATE(SUM($K$6:$K180)," / ",SUM($K$6:$K$370))</f>
        <v>651,895 / 651,895</v>
      </c>
      <c r="K180" s="244">
        <v>0</v>
      </c>
      <c r="L180" s="28"/>
      <c r="M180" s="28" t="str">
        <f>CONCATENATE(SUMIF($E$6:$E180,$E180,$P$6:$P$370)," / ",SUMIF($E$6:$E$370,$E180,$P$6:$P$370))</f>
        <v>0 / 0</v>
      </c>
      <c r="N180" s="28" t="str">
        <f ca="1">CONCATENATE(SUMIF($F$6:$F180,$F180,$P180)," / ",SUMIF($F$6:$F$370,$F180,$P$6:$P$370))</f>
        <v>0 / 0</v>
      </c>
      <c r="O180" s="28" t="str">
        <f>CONCATENATE(SUM($P$6:$P180)," / ",SUM($P$6:$P544))</f>
        <v>528 / 528</v>
      </c>
      <c r="P180" s="244">
        <v>0</v>
      </c>
      <c r="Q180" s="28"/>
      <c r="R180" s="245">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399">
        <v>42545</v>
      </c>
      <c r="C181" s="35" t="str">
        <f t="shared" si="11"/>
        <v>Vendredi</v>
      </c>
      <c r="D181" s="35">
        <f t="shared" si="14"/>
        <v>176</v>
      </c>
      <c r="E181" s="124">
        <f t="shared" si="12"/>
        <v>26</v>
      </c>
      <c r="F181" s="124">
        <f t="shared" si="13"/>
        <v>6</v>
      </c>
      <c r="G181" s="27"/>
      <c r="H181" s="28" t="str">
        <f>CONCATENATE(SUMIF($E$6:$E181,$E181,$K$6:$K$370)," / ",SUMIF($E$6:$E$370,$E181,$K$6:$K$370))</f>
        <v>0 / 0</v>
      </c>
      <c r="I181" s="28" t="str">
        <f>CONCATENATE(SUMIF($F$6:$F181,$F181,$K$6:$K$370)," / ",SUMIF($F$6:$F$370,$F181,$K$6:$K$370))</f>
        <v>0 / 0</v>
      </c>
      <c r="J181" s="28" t="str">
        <f>CONCATENATE(SUM($K$6:$K181)," / ",SUM($K$6:$K$370))</f>
        <v>651,895 / 651,895</v>
      </c>
      <c r="K181" s="244">
        <v>0</v>
      </c>
      <c r="L181" s="28"/>
      <c r="M181" s="28" t="str">
        <f>CONCATENATE(SUMIF($E$6:$E181,$E181,$P$6:$P$370)," / ",SUMIF($E$6:$E$370,$E181,$P$6:$P$370))</f>
        <v>0 / 0</v>
      </c>
      <c r="N181" s="28" t="str">
        <f ca="1">CONCATENATE(SUMIF($F$6:$F181,$F181,$P181)," / ",SUMIF($F$6:$F$370,$F181,$P$6:$P$370))</f>
        <v>0 / 0</v>
      </c>
      <c r="O181" s="28" t="str">
        <f>CONCATENATE(SUM($P$6:$P181)," / ",SUM($P$6:$P545))</f>
        <v>528 / 528</v>
      </c>
      <c r="P181" s="244">
        <v>0</v>
      </c>
      <c r="Q181" s="28"/>
      <c r="R181" s="245">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399">
        <v>42546</v>
      </c>
      <c r="C182" s="35" t="str">
        <f t="shared" si="11"/>
        <v>Samedi</v>
      </c>
      <c r="D182" s="35">
        <f t="shared" si="14"/>
        <v>177</v>
      </c>
      <c r="E182" s="124">
        <f t="shared" si="12"/>
        <v>26</v>
      </c>
      <c r="F182" s="124">
        <f t="shared" si="13"/>
        <v>6</v>
      </c>
      <c r="G182" s="27"/>
      <c r="H182" s="28" t="str">
        <f>CONCATENATE(SUMIF($E$6:$E182,$E182,$K$6:$K$370)," / ",SUMIF($E$6:$E$370,$E182,$K$6:$K$370))</f>
        <v>0 / 0</v>
      </c>
      <c r="I182" s="28" t="str">
        <f>CONCATENATE(SUMIF($F$6:$F182,$F182,$K$6:$K$370)," / ",SUMIF($F$6:$F$370,$F182,$K$6:$K$370))</f>
        <v>0 / 0</v>
      </c>
      <c r="J182" s="28" t="str">
        <f>CONCATENATE(SUM($K$6:$K182)," / ",SUM($K$6:$K$370))</f>
        <v>651,895 / 651,895</v>
      </c>
      <c r="K182" s="244">
        <v>0</v>
      </c>
      <c r="L182" s="28"/>
      <c r="M182" s="28" t="str">
        <f>CONCATENATE(SUMIF($E$6:$E182,$E182,$P$6:$P$370)," / ",SUMIF($E$6:$E$370,$E182,$P$6:$P$370))</f>
        <v>0 / 0</v>
      </c>
      <c r="N182" s="28" t="str">
        <f ca="1">CONCATENATE(SUMIF($F$6:$F182,$F182,$P182)," / ",SUMIF($F$6:$F$370,$F182,$P$6:$P$370))</f>
        <v>0 / 0</v>
      </c>
      <c r="O182" s="28" t="str">
        <f>CONCATENATE(SUM($P$6:$P182)," / ",SUM($P$6:$P546))</f>
        <v>528 / 528</v>
      </c>
      <c r="P182" s="244">
        <v>0</v>
      </c>
      <c r="Q182" s="28"/>
      <c r="R182" s="245">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399">
        <v>42547</v>
      </c>
      <c r="C183" s="35" t="str">
        <f t="shared" si="11"/>
        <v>Dimanche</v>
      </c>
      <c r="D183" s="35">
        <f t="shared" si="14"/>
        <v>178</v>
      </c>
      <c r="E183" s="124">
        <f t="shared" si="12"/>
        <v>27</v>
      </c>
      <c r="F183" s="124">
        <f t="shared" si="13"/>
        <v>6</v>
      </c>
      <c r="G183" s="27"/>
      <c r="H183" s="28" t="str">
        <f>CONCATENATE(SUMIF($E$6:$E183,$E183,$K$6:$K$370)," / ",SUMIF($E$6:$E$370,$E183,$K$6:$K$370))</f>
        <v>0 / 0</v>
      </c>
      <c r="I183" s="28" t="str">
        <f>CONCATENATE(SUMIF($F$6:$F183,$F183,$K$6:$K$370)," / ",SUMIF($F$6:$F$370,$F183,$K$6:$K$370))</f>
        <v>0 / 0</v>
      </c>
      <c r="J183" s="28" t="str">
        <f>CONCATENATE(SUM($K$6:$K183)," / ",SUM($K$6:$K$370))</f>
        <v>651,895 / 651,895</v>
      </c>
      <c r="K183" s="244">
        <v>0</v>
      </c>
      <c r="L183" s="28"/>
      <c r="M183" s="28" t="str">
        <f>CONCATENATE(SUMIF($E$6:$E183,$E183,$P$6:$P$370)," / ",SUMIF($E$6:$E$370,$E183,$P$6:$P$370))</f>
        <v>0 / 0</v>
      </c>
      <c r="N183" s="28" t="str">
        <f ca="1">CONCATENATE(SUMIF($F$6:$F183,$F183,$P183)," / ",SUMIF($F$6:$F$370,$F183,$P$6:$P$370))</f>
        <v>0 / 0</v>
      </c>
      <c r="O183" s="28" t="str">
        <f>CONCATENATE(SUM($P$6:$P183)," / ",SUM($P$6:$P547))</f>
        <v>528 / 528</v>
      </c>
      <c r="P183" s="244">
        <v>0</v>
      </c>
      <c r="Q183" s="28"/>
      <c r="R183" s="245">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399">
        <v>42548</v>
      </c>
      <c r="C184" s="35" t="str">
        <f t="shared" si="11"/>
        <v>Lundi</v>
      </c>
      <c r="D184" s="35">
        <f t="shared" si="14"/>
        <v>179</v>
      </c>
      <c r="E184" s="124">
        <f t="shared" si="12"/>
        <v>27</v>
      </c>
      <c r="F184" s="124">
        <f t="shared" si="13"/>
        <v>6</v>
      </c>
      <c r="G184" s="27"/>
      <c r="H184" s="28" t="str">
        <f>CONCATENATE(SUMIF($E$6:$E184,$E184,$K$6:$K$370)," / ",SUMIF($E$6:$E$370,$E184,$K$6:$K$370))</f>
        <v>0 / 0</v>
      </c>
      <c r="I184" s="28" t="str">
        <f>CONCATENATE(SUMIF($F$6:$F184,$F184,$K$6:$K$370)," / ",SUMIF($F$6:$F$370,$F184,$K$6:$K$370))</f>
        <v>0 / 0</v>
      </c>
      <c r="J184" s="28" t="str">
        <f>CONCATENATE(SUM($K$6:$K184)," / ",SUM($K$6:$K$370))</f>
        <v>651,895 / 651,895</v>
      </c>
      <c r="K184" s="244">
        <v>0</v>
      </c>
      <c r="L184" s="28"/>
      <c r="M184" s="28" t="str">
        <f>CONCATENATE(SUMIF($E$6:$E184,$E184,$P$6:$P$370)," / ",SUMIF($E$6:$E$370,$E184,$P$6:$P$370))</f>
        <v>0 / 0</v>
      </c>
      <c r="N184" s="28" t="str">
        <f ca="1">CONCATENATE(SUMIF($F$6:$F184,$F184,$P184)," / ",SUMIF($F$6:$F$370,$F184,$P$6:$P$370))</f>
        <v>0 / 0</v>
      </c>
      <c r="O184" s="28" t="str">
        <f>CONCATENATE(SUM($P$6:$P184)," / ",SUM($P$6:$P548))</f>
        <v>528 / 528</v>
      </c>
      <c r="P184" s="244">
        <v>0</v>
      </c>
      <c r="Q184" s="28"/>
      <c r="R184" s="245">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399">
        <v>42549</v>
      </c>
      <c r="C185" s="35" t="str">
        <f t="shared" si="11"/>
        <v>Mardi</v>
      </c>
      <c r="D185" s="35">
        <f t="shared" si="14"/>
        <v>180</v>
      </c>
      <c r="E185" s="124">
        <f t="shared" si="12"/>
        <v>27</v>
      </c>
      <c r="F185" s="124">
        <f t="shared" si="13"/>
        <v>6</v>
      </c>
      <c r="G185" s="27"/>
      <c r="H185" s="28" t="str">
        <f>CONCATENATE(SUMIF($E$6:$E185,$E185,$K$6:$K$370)," / ",SUMIF($E$6:$E$370,$E185,$K$6:$K$370))</f>
        <v>0 / 0</v>
      </c>
      <c r="I185" s="28" t="str">
        <f>CONCATENATE(SUMIF($F$6:$F185,$F185,$K$6:$K$370)," / ",SUMIF($F$6:$F$370,$F185,$K$6:$K$370))</f>
        <v>0 / 0</v>
      </c>
      <c r="J185" s="28" t="str">
        <f>CONCATENATE(SUM($K$6:$K185)," / ",SUM($K$6:$K$370))</f>
        <v>651,895 / 651,895</v>
      </c>
      <c r="K185" s="244">
        <v>0</v>
      </c>
      <c r="L185" s="28"/>
      <c r="M185" s="28" t="str">
        <f>CONCATENATE(SUMIF($E$6:$E185,$E185,$P$6:$P$370)," / ",SUMIF($E$6:$E$370,$E185,$P$6:$P$370))</f>
        <v>0 / 0</v>
      </c>
      <c r="N185" s="28" t="str">
        <f ca="1">CONCATENATE(SUMIF($F$6:$F185,$F185,$P185)," / ",SUMIF($F$6:$F$370,$F185,$P$6:$P$370))</f>
        <v>0 / 0</v>
      </c>
      <c r="O185" s="28" t="str">
        <f>CONCATENATE(SUM($P$6:$P185)," / ",SUM($P$6:$P549))</f>
        <v>528 / 528</v>
      </c>
      <c r="P185" s="244">
        <v>0</v>
      </c>
      <c r="Q185" s="28"/>
      <c r="R185" s="245">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399">
        <v>42550</v>
      </c>
      <c r="C186" s="35" t="str">
        <f t="shared" si="11"/>
        <v>Mercredi</v>
      </c>
      <c r="D186" s="35">
        <f t="shared" si="14"/>
        <v>181</v>
      </c>
      <c r="E186" s="124">
        <f t="shared" si="12"/>
        <v>27</v>
      </c>
      <c r="F186" s="124">
        <f t="shared" si="13"/>
        <v>6</v>
      </c>
      <c r="G186" s="27"/>
      <c r="H186" s="28" t="str">
        <f>CONCATENATE(SUMIF($E$6:$E186,$E186,$K$6:$K$370)," / ",SUMIF($E$6:$E$370,$E186,$K$6:$K$370))</f>
        <v>0 / 0</v>
      </c>
      <c r="I186" s="28" t="str">
        <f>CONCATENATE(SUMIF($F$6:$F186,$F186,$K$6:$K$370)," / ",SUMIF($F$6:$F$370,$F186,$K$6:$K$370))</f>
        <v>0 / 0</v>
      </c>
      <c r="J186" s="28" t="str">
        <f>CONCATENATE(SUM($K$6:$K186)," / ",SUM($K$6:$K$370))</f>
        <v>651,895 / 651,895</v>
      </c>
      <c r="K186" s="244">
        <v>0</v>
      </c>
      <c r="L186" s="28"/>
      <c r="M186" s="28" t="str">
        <f>CONCATENATE(SUMIF($E$6:$E186,$E186,$P$6:$P$370)," / ",SUMIF($E$6:$E$370,$E186,$P$6:$P$370))</f>
        <v>0 / 0</v>
      </c>
      <c r="N186" s="28" t="str">
        <f ca="1">CONCATENATE(SUMIF($F$6:$F186,$F186,$P186)," / ",SUMIF($F$6:$F$370,$F186,$P$6:$P$370))</f>
        <v>0 / 0</v>
      </c>
      <c r="O186" s="28" t="str">
        <f>CONCATENATE(SUM($P$6:$P186)," / ",SUM($P$6:$P550))</f>
        <v>528 / 528</v>
      </c>
      <c r="P186" s="244">
        <v>0</v>
      </c>
      <c r="Q186" s="28"/>
      <c r="R186" s="245">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399">
        <v>42551</v>
      </c>
      <c r="C187" s="35" t="str">
        <f t="shared" si="11"/>
        <v>Jeudi</v>
      </c>
      <c r="D187" s="35">
        <f t="shared" si="14"/>
        <v>182</v>
      </c>
      <c r="E187" s="124">
        <f t="shared" si="12"/>
        <v>27</v>
      </c>
      <c r="F187" s="124">
        <f t="shared" si="13"/>
        <v>6</v>
      </c>
      <c r="G187" s="27"/>
      <c r="H187" s="28" t="str">
        <f>CONCATENATE(SUMIF($E$6:$E187,$E187,$K$6:$K$370)," / ",SUMIF($E$6:$E$370,$E187,$K$6:$K$370))</f>
        <v>0 / 0</v>
      </c>
      <c r="I187" s="28" t="str">
        <f>CONCATENATE(SUMIF($F$6:$F187,$F187,$K$6:$K$370)," / ",SUMIF($F$6:$F$370,$F187,$K$6:$K$370))</f>
        <v>0 / 0</v>
      </c>
      <c r="J187" s="28" t="str">
        <f>CONCATENATE(SUM($K$6:$K187)," / ",SUM($K$6:$K$370))</f>
        <v>651,895 / 651,895</v>
      </c>
      <c r="K187" s="244">
        <v>0</v>
      </c>
      <c r="L187" s="28"/>
      <c r="M187" s="28" t="str">
        <f>CONCATENATE(SUMIF($E$6:$E187,$E187,$P$6:$P$370)," / ",SUMIF($E$6:$E$370,$E187,$P$6:$P$370))</f>
        <v>0 / 0</v>
      </c>
      <c r="N187" s="28" t="str">
        <f ca="1">CONCATENATE(SUMIF($F$6:$F187,$F187,$P187)," / ",SUMIF($F$6:$F$370,$F187,$P$6:$P$370))</f>
        <v>0 / 0</v>
      </c>
      <c r="O187" s="28" t="str">
        <f>CONCATENATE(SUM($P$6:$P187)," / ",SUM($P$6:$P551))</f>
        <v>528 / 528</v>
      </c>
      <c r="P187" s="244">
        <v>0</v>
      </c>
      <c r="Q187" s="28"/>
      <c r="R187" s="245">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399">
        <v>42552</v>
      </c>
      <c r="C188" s="35" t="str">
        <f t="shared" si="11"/>
        <v>Vendredi</v>
      </c>
      <c r="D188" s="35">
        <f t="shared" si="14"/>
        <v>183</v>
      </c>
      <c r="E188" s="124">
        <f t="shared" si="12"/>
        <v>27</v>
      </c>
      <c r="F188" s="124">
        <f t="shared" si="13"/>
        <v>7</v>
      </c>
      <c r="G188" s="27"/>
      <c r="H188" s="28" t="str">
        <f>CONCATENATE(SUMIF($E$6:$E188,$E188,$K$6:$K$370)," / ",SUMIF($E$6:$E$370,$E188,$K$6:$K$370))</f>
        <v>0 / 0</v>
      </c>
      <c r="I188" s="28" t="str">
        <f>CONCATENATE(SUMIF($F$6:$F188,$F188,$K$6:$K$370)," / ",SUMIF($F$6:$F$370,$F188,$K$6:$K$370))</f>
        <v>0 / 0</v>
      </c>
      <c r="J188" s="28" t="str">
        <f>CONCATENATE(SUM($K$6:$K188)," / ",SUM($K$6:$K$370))</f>
        <v>651,895 / 651,895</v>
      </c>
      <c r="K188" s="244">
        <v>0</v>
      </c>
      <c r="L188" s="28"/>
      <c r="M188" s="28" t="str">
        <f>CONCATENATE(SUMIF($E$6:$E188,$E188,$P$6:$P$370)," / ",SUMIF($E$6:$E$370,$E188,$P$6:$P$370))</f>
        <v>0 / 0</v>
      </c>
      <c r="N188" s="28" t="str">
        <f ca="1">CONCATENATE(SUMIF($F$6:$F188,$F188,$P188)," / ",SUMIF($F$6:$F$370,$F188,$P$6:$P$370))</f>
        <v>0 / 0</v>
      </c>
      <c r="O188" s="28" t="str">
        <f>CONCATENATE(SUM($P$6:$P188)," / ",SUM($P$6:$P552))</f>
        <v>528 / 528</v>
      </c>
      <c r="P188" s="244">
        <v>0</v>
      </c>
      <c r="Q188" s="28"/>
      <c r="R188" s="245">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399">
        <v>42553</v>
      </c>
      <c r="C189" s="35" t="str">
        <f t="shared" si="11"/>
        <v>Samedi</v>
      </c>
      <c r="D189" s="35">
        <f t="shared" si="14"/>
        <v>184</v>
      </c>
      <c r="E189" s="124">
        <f t="shared" si="12"/>
        <v>27</v>
      </c>
      <c r="F189" s="124">
        <f t="shared" si="13"/>
        <v>7</v>
      </c>
      <c r="G189" s="27"/>
      <c r="H189" s="28" t="str">
        <f>CONCATENATE(SUMIF($E$6:$E189,$E189,$K$6:$K$370)," / ",SUMIF($E$6:$E$370,$E189,$K$6:$K$370))</f>
        <v>0 / 0</v>
      </c>
      <c r="I189" s="28" t="str">
        <f>CONCATENATE(SUMIF($F$6:$F189,$F189,$K$6:$K$370)," / ",SUMIF($F$6:$F$370,$F189,$K$6:$K$370))</f>
        <v>0 / 0</v>
      </c>
      <c r="J189" s="28" t="str">
        <f>CONCATENATE(SUM($K$6:$K189)," / ",SUM($K$6:$K$370))</f>
        <v>651,895 / 651,895</v>
      </c>
      <c r="K189" s="244">
        <v>0</v>
      </c>
      <c r="L189" s="28"/>
      <c r="M189" s="28" t="str">
        <f>CONCATENATE(SUMIF($E$6:$E189,$E189,$P$6:$P$370)," / ",SUMIF($E$6:$E$370,$E189,$P$6:$P$370))</f>
        <v>0 / 0</v>
      </c>
      <c r="N189" s="28" t="str">
        <f ca="1">CONCATENATE(SUMIF($F$6:$F189,$F189,$P189)," / ",SUMIF($F$6:$F$370,$F189,$P$6:$P$370))</f>
        <v>0 / 0</v>
      </c>
      <c r="O189" s="28" t="str">
        <f>CONCATENATE(SUM($P$6:$P189)," / ",SUM($P$6:$P553))</f>
        <v>528 / 528</v>
      </c>
      <c r="P189" s="244">
        <v>0</v>
      </c>
      <c r="Q189" s="28"/>
      <c r="R189" s="245">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399">
        <v>42554</v>
      </c>
      <c r="C190" s="35" t="str">
        <f t="shared" si="11"/>
        <v>Dimanche</v>
      </c>
      <c r="D190" s="35">
        <f t="shared" si="14"/>
        <v>185</v>
      </c>
      <c r="E190" s="124">
        <f t="shared" si="12"/>
        <v>28</v>
      </c>
      <c r="F190" s="124">
        <f t="shared" si="13"/>
        <v>7</v>
      </c>
      <c r="G190" s="27"/>
      <c r="H190" s="28" t="str">
        <f>CONCATENATE(SUMIF($E$6:$E190,$E190,$K$6:$K$370)," / ",SUMIF($E$6:$E$370,$E190,$K$6:$K$370))</f>
        <v>0 / 0</v>
      </c>
      <c r="I190" s="28" t="str">
        <f>CONCATENATE(SUMIF($F$6:$F190,$F190,$K$6:$K$370)," / ",SUMIF($F$6:$F$370,$F190,$K$6:$K$370))</f>
        <v>0 / 0</v>
      </c>
      <c r="J190" s="28" t="str">
        <f>CONCATENATE(SUM($K$6:$K190)," / ",SUM($K$6:$K$370))</f>
        <v>651,895 / 651,895</v>
      </c>
      <c r="K190" s="244">
        <v>0</v>
      </c>
      <c r="L190" s="28"/>
      <c r="M190" s="28" t="str">
        <f>CONCATENATE(SUMIF($E$6:$E190,$E190,$P$6:$P$370)," / ",SUMIF($E$6:$E$370,$E190,$P$6:$P$370))</f>
        <v>0 / 0</v>
      </c>
      <c r="N190" s="28" t="str">
        <f ca="1">CONCATENATE(SUMIF($F$6:$F190,$F190,$P190)," / ",SUMIF($F$6:$F$370,$F190,$P$6:$P$370))</f>
        <v>0 / 0</v>
      </c>
      <c r="O190" s="28" t="str">
        <f>CONCATENATE(SUM($P$6:$P190)," / ",SUM($P$6:$P554))</f>
        <v>528 / 528</v>
      </c>
      <c r="P190" s="244">
        <v>0</v>
      </c>
      <c r="Q190" s="28"/>
      <c r="R190" s="245">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399">
        <v>42555</v>
      </c>
      <c r="C191" s="35" t="str">
        <f t="shared" si="11"/>
        <v>Lundi</v>
      </c>
      <c r="D191" s="35">
        <f t="shared" si="14"/>
        <v>186</v>
      </c>
      <c r="E191" s="124">
        <f t="shared" si="12"/>
        <v>28</v>
      </c>
      <c r="F191" s="124">
        <f t="shared" si="13"/>
        <v>7</v>
      </c>
      <c r="G191" s="27"/>
      <c r="H191" s="28" t="str">
        <f>CONCATENATE(SUMIF($E$6:$E191,$E191,$K$6:$K$370)," / ",SUMIF($E$6:$E$370,$E191,$K$6:$K$370))</f>
        <v>0 / 0</v>
      </c>
      <c r="I191" s="28" t="str">
        <f>CONCATENATE(SUMIF($F$6:$F191,$F191,$K$6:$K$370)," / ",SUMIF($F$6:$F$370,$F191,$K$6:$K$370))</f>
        <v>0 / 0</v>
      </c>
      <c r="J191" s="28" t="str">
        <f>CONCATENATE(SUM($K$6:$K191)," / ",SUM($K$6:$K$370))</f>
        <v>651,895 / 651,895</v>
      </c>
      <c r="K191" s="244">
        <v>0</v>
      </c>
      <c r="L191" s="28"/>
      <c r="M191" s="28" t="str">
        <f>CONCATENATE(SUMIF($E$6:$E191,$E191,$P$6:$P$370)," / ",SUMIF($E$6:$E$370,$E191,$P$6:$P$370))</f>
        <v>0 / 0</v>
      </c>
      <c r="N191" s="28" t="str">
        <f ca="1">CONCATENATE(SUMIF($F$6:$F191,$F191,$P191)," / ",SUMIF($F$6:$F$370,$F191,$P$6:$P$370))</f>
        <v>0 / 0</v>
      </c>
      <c r="O191" s="28" t="str">
        <f>CONCATENATE(SUM($P$6:$P191)," / ",SUM($P$6:$P555))</f>
        <v>528 / 528</v>
      </c>
      <c r="P191" s="244">
        <v>0</v>
      </c>
      <c r="Q191" s="28"/>
      <c r="R191" s="245">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399">
        <v>42556</v>
      </c>
      <c r="C192" s="35" t="str">
        <f t="shared" si="11"/>
        <v>Mardi</v>
      </c>
      <c r="D192" s="35">
        <f t="shared" si="14"/>
        <v>187</v>
      </c>
      <c r="E192" s="124">
        <f t="shared" si="12"/>
        <v>28</v>
      </c>
      <c r="F192" s="124">
        <f t="shared" si="13"/>
        <v>7</v>
      </c>
      <c r="G192" s="27"/>
      <c r="H192" s="28" t="str">
        <f>CONCATENATE(SUMIF($E$6:$E192,$E192,$K$6:$K$370)," / ",SUMIF($E$6:$E$370,$E192,$K$6:$K$370))</f>
        <v>0 / 0</v>
      </c>
      <c r="I192" s="28" t="str">
        <f>CONCATENATE(SUMIF($F$6:$F192,$F192,$K$6:$K$370)," / ",SUMIF($F$6:$F$370,$F192,$K$6:$K$370))</f>
        <v>0 / 0</v>
      </c>
      <c r="J192" s="28" t="str">
        <f>CONCATENATE(SUM($K$6:$K192)," / ",SUM($K$6:$K$370))</f>
        <v>651,895 / 651,895</v>
      </c>
      <c r="K192" s="244">
        <v>0</v>
      </c>
      <c r="L192" s="28"/>
      <c r="M192" s="28" t="str">
        <f>CONCATENATE(SUMIF($E$6:$E192,$E192,$P$6:$P$370)," / ",SUMIF($E$6:$E$370,$E192,$P$6:$P$370))</f>
        <v>0 / 0</v>
      </c>
      <c r="N192" s="28" t="str">
        <f ca="1">CONCATENATE(SUMIF($F$6:$F192,$F192,$P192)," / ",SUMIF($F$6:$F$370,$F192,$P$6:$P$370))</f>
        <v>0 / 0</v>
      </c>
      <c r="O192" s="28" t="str">
        <f>CONCATENATE(SUM($P$6:$P192)," / ",SUM($P$6:$P556))</f>
        <v>528 / 528</v>
      </c>
      <c r="P192" s="244">
        <v>0</v>
      </c>
      <c r="Q192" s="28"/>
      <c r="R192" s="245">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399">
        <v>42557</v>
      </c>
      <c r="C193" s="35" t="str">
        <f t="shared" si="11"/>
        <v>Mercredi</v>
      </c>
      <c r="D193" s="35">
        <f t="shared" si="14"/>
        <v>188</v>
      </c>
      <c r="E193" s="124">
        <f t="shared" si="12"/>
        <v>28</v>
      </c>
      <c r="F193" s="124">
        <f t="shared" si="13"/>
        <v>7</v>
      </c>
      <c r="G193" s="27"/>
      <c r="H193" s="28" t="str">
        <f>CONCATENATE(SUMIF($E$6:$E193,$E193,$K$6:$K$370)," / ",SUMIF($E$6:$E$370,$E193,$K$6:$K$370))</f>
        <v>0 / 0</v>
      </c>
      <c r="I193" s="28" t="str">
        <f>CONCATENATE(SUMIF($F$6:$F193,$F193,$K$6:$K$370)," / ",SUMIF($F$6:$F$370,$F193,$K$6:$K$370))</f>
        <v>0 / 0</v>
      </c>
      <c r="J193" s="28" t="str">
        <f>CONCATENATE(SUM($K$6:$K193)," / ",SUM($K$6:$K$370))</f>
        <v>651,895 / 651,895</v>
      </c>
      <c r="K193" s="244">
        <v>0</v>
      </c>
      <c r="L193" s="28"/>
      <c r="M193" s="28" t="str">
        <f>CONCATENATE(SUMIF($E$6:$E193,$E193,$P$6:$P$370)," / ",SUMIF($E$6:$E$370,$E193,$P$6:$P$370))</f>
        <v>0 / 0</v>
      </c>
      <c r="N193" s="28" t="str">
        <f ca="1">CONCATENATE(SUMIF($F$6:$F193,$F193,$P193)," / ",SUMIF($F$6:$F$370,$F193,$P$6:$P$370))</f>
        <v>0 / 0</v>
      </c>
      <c r="O193" s="28" t="str">
        <f>CONCATENATE(SUM($P$6:$P193)," / ",SUM($P$6:$P557))</f>
        <v>528 / 528</v>
      </c>
      <c r="P193" s="244">
        <v>0</v>
      </c>
      <c r="Q193" s="28"/>
      <c r="R193" s="245">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399">
        <v>42558</v>
      </c>
      <c r="C194" s="35" t="str">
        <f t="shared" si="11"/>
        <v>Jeudi</v>
      </c>
      <c r="D194" s="35">
        <f t="shared" si="14"/>
        <v>189</v>
      </c>
      <c r="E194" s="124">
        <f t="shared" si="12"/>
        <v>28</v>
      </c>
      <c r="F194" s="124">
        <f t="shared" si="13"/>
        <v>7</v>
      </c>
      <c r="G194" s="27"/>
      <c r="H194" s="28" t="str">
        <f>CONCATENATE(SUMIF($E$6:$E194,$E194,$K$6:$K$370)," / ",SUMIF($E$6:$E$370,$E194,$K$6:$K$370))</f>
        <v>0 / 0</v>
      </c>
      <c r="I194" s="28" t="str">
        <f>CONCATENATE(SUMIF($F$6:$F194,$F194,$K$6:$K$370)," / ",SUMIF($F$6:$F$370,$F194,$K$6:$K$370))</f>
        <v>0 / 0</v>
      </c>
      <c r="J194" s="28" t="str">
        <f>CONCATENATE(SUM($K$6:$K194)," / ",SUM($K$6:$K$370))</f>
        <v>651,895 / 651,895</v>
      </c>
      <c r="K194" s="244">
        <v>0</v>
      </c>
      <c r="L194" s="28"/>
      <c r="M194" s="28" t="str">
        <f>CONCATENATE(SUMIF($E$6:$E194,$E194,$P$6:$P$370)," / ",SUMIF($E$6:$E$370,$E194,$P$6:$P$370))</f>
        <v>0 / 0</v>
      </c>
      <c r="N194" s="28" t="str">
        <f ca="1">CONCATENATE(SUMIF($F$6:$F194,$F194,$P194)," / ",SUMIF($F$6:$F$370,$F194,$P$6:$P$370))</f>
        <v>0 / 0</v>
      </c>
      <c r="O194" s="28" t="str">
        <f>CONCATENATE(SUM($P$6:$P194)," / ",SUM($P$6:$P558))</f>
        <v>528 / 528</v>
      </c>
      <c r="P194" s="244">
        <v>0</v>
      </c>
      <c r="Q194" s="28"/>
      <c r="R194" s="245">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399">
        <v>42559</v>
      </c>
      <c r="C195" s="35" t="str">
        <f t="shared" si="11"/>
        <v>Vendredi</v>
      </c>
      <c r="D195" s="35">
        <f t="shared" si="14"/>
        <v>190</v>
      </c>
      <c r="E195" s="124">
        <f t="shared" si="12"/>
        <v>28</v>
      </c>
      <c r="F195" s="124">
        <f t="shared" si="13"/>
        <v>7</v>
      </c>
      <c r="G195" s="27"/>
      <c r="H195" s="28" t="str">
        <f>CONCATENATE(SUMIF($E$6:$E195,$E195,$K$6:$K$370)," / ",SUMIF($E$6:$E$370,$E195,$K$6:$K$370))</f>
        <v>0 / 0</v>
      </c>
      <c r="I195" s="28" t="str">
        <f>CONCATENATE(SUMIF($F$6:$F195,$F195,$K$6:$K$370)," / ",SUMIF($F$6:$F$370,$F195,$K$6:$K$370))</f>
        <v>0 / 0</v>
      </c>
      <c r="J195" s="28" t="str">
        <f>CONCATENATE(SUM($K$6:$K195)," / ",SUM($K$6:$K$370))</f>
        <v>651,895 / 651,895</v>
      </c>
      <c r="K195" s="244">
        <v>0</v>
      </c>
      <c r="L195" s="28"/>
      <c r="M195" s="28" t="str">
        <f>CONCATENATE(SUMIF($E$6:$E195,$E195,$P$6:$P$370)," / ",SUMIF($E$6:$E$370,$E195,$P$6:$P$370))</f>
        <v>0 / 0</v>
      </c>
      <c r="N195" s="28" t="str">
        <f ca="1">CONCATENATE(SUMIF($F$6:$F195,$F195,$P195)," / ",SUMIF($F$6:$F$370,$F195,$P$6:$P$370))</f>
        <v>0 / 0</v>
      </c>
      <c r="O195" s="28" t="str">
        <f>CONCATENATE(SUM($P$6:$P195)," / ",SUM($P$6:$P559))</f>
        <v>528 / 528</v>
      </c>
      <c r="P195" s="244">
        <v>0</v>
      </c>
      <c r="Q195" s="28"/>
      <c r="R195" s="245">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399">
        <v>42560</v>
      </c>
      <c r="C196" s="35" t="str">
        <f t="shared" si="11"/>
        <v>Samedi</v>
      </c>
      <c r="D196" s="35">
        <f t="shared" si="14"/>
        <v>191</v>
      </c>
      <c r="E196" s="124">
        <f t="shared" si="12"/>
        <v>28</v>
      </c>
      <c r="F196" s="124">
        <f t="shared" si="13"/>
        <v>7</v>
      </c>
      <c r="G196" s="27"/>
      <c r="H196" s="28" t="str">
        <f>CONCATENATE(SUMIF($E$6:$E196,$E196,$K$6:$K$370)," / ",SUMIF($E$6:$E$370,$E196,$K$6:$K$370))</f>
        <v>0 / 0</v>
      </c>
      <c r="I196" s="28" t="str">
        <f>CONCATENATE(SUMIF($F$6:$F196,$F196,$K$6:$K$370)," / ",SUMIF($F$6:$F$370,$F196,$K$6:$K$370))</f>
        <v>0 / 0</v>
      </c>
      <c r="J196" s="28" t="str">
        <f>CONCATENATE(SUM($K$6:$K196)," / ",SUM($K$6:$K$370))</f>
        <v>651,895 / 651,895</v>
      </c>
      <c r="K196" s="244">
        <v>0</v>
      </c>
      <c r="L196" s="28"/>
      <c r="M196" s="28" t="str">
        <f>CONCATENATE(SUMIF($E$6:$E196,$E196,$P$6:$P$370)," / ",SUMIF($E$6:$E$370,$E196,$P$6:$P$370))</f>
        <v>0 / 0</v>
      </c>
      <c r="N196" s="28" t="str">
        <f ca="1">CONCATENATE(SUMIF($F$6:$F196,$F196,$P196)," / ",SUMIF($F$6:$F$370,$F196,$P$6:$P$370))</f>
        <v>0 / 0</v>
      </c>
      <c r="O196" s="28" t="str">
        <f>CONCATENATE(SUM($P$6:$P196)," / ",SUM($P$6:$P560))</f>
        <v>528 / 528</v>
      </c>
      <c r="P196" s="244">
        <v>0</v>
      </c>
      <c r="Q196" s="28"/>
      <c r="R196" s="245">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399">
        <v>42561</v>
      </c>
      <c r="C197" s="35" t="str">
        <f t="shared" si="11"/>
        <v>Dimanche</v>
      </c>
      <c r="D197" s="35">
        <f t="shared" si="14"/>
        <v>192</v>
      </c>
      <c r="E197" s="124">
        <f t="shared" si="12"/>
        <v>29</v>
      </c>
      <c r="F197" s="124">
        <f t="shared" si="13"/>
        <v>7</v>
      </c>
      <c r="G197" s="27"/>
      <c r="H197" s="28" t="str">
        <f>CONCATENATE(SUMIF($E$6:$E197,$E197,$K$6:$K$370)," / ",SUMIF($E$6:$E$370,$E197,$K$6:$K$370))</f>
        <v>0 / 0</v>
      </c>
      <c r="I197" s="28" t="str">
        <f>CONCATENATE(SUMIF($F$6:$F197,$F197,$K$6:$K$370)," / ",SUMIF($F$6:$F$370,$F197,$K$6:$K$370))</f>
        <v>0 / 0</v>
      </c>
      <c r="J197" s="28" t="str">
        <f>CONCATENATE(SUM($K$6:$K197)," / ",SUM($K$6:$K$370))</f>
        <v>651,895 / 651,895</v>
      </c>
      <c r="K197" s="244">
        <v>0</v>
      </c>
      <c r="L197" s="28"/>
      <c r="M197" s="28" t="str">
        <f>CONCATENATE(SUMIF($E$6:$E197,$E197,$P$6:$P$370)," / ",SUMIF($E$6:$E$370,$E197,$P$6:$P$370))</f>
        <v>0 / 0</v>
      </c>
      <c r="N197" s="28" t="str">
        <f ca="1">CONCATENATE(SUMIF($F$6:$F197,$F197,$P197)," / ",SUMIF($F$6:$F$370,$F197,$P$6:$P$370))</f>
        <v>0 / 0</v>
      </c>
      <c r="O197" s="28" t="str">
        <f>CONCATENATE(SUM($P$6:$P197)," / ",SUM($P$6:$P561))</f>
        <v>528 / 528</v>
      </c>
      <c r="P197" s="244">
        <v>0</v>
      </c>
      <c r="Q197" s="28"/>
      <c r="R197" s="245">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399">
        <v>42562</v>
      </c>
      <c r="C198" s="35" t="str">
        <f t="shared" si="11"/>
        <v>Lundi</v>
      </c>
      <c r="D198" s="35">
        <f t="shared" si="14"/>
        <v>193</v>
      </c>
      <c r="E198" s="124">
        <f t="shared" si="12"/>
        <v>29</v>
      </c>
      <c r="F198" s="124">
        <f t="shared" si="13"/>
        <v>7</v>
      </c>
      <c r="G198" s="27"/>
      <c r="H198" s="28" t="str">
        <f>CONCATENATE(SUMIF($E$6:$E198,$E198,$K$6:$K$370)," / ",SUMIF($E$6:$E$370,$E198,$K$6:$K$370))</f>
        <v>0 / 0</v>
      </c>
      <c r="I198" s="28" t="str">
        <f>CONCATENATE(SUMIF($F$6:$F198,$F198,$K$6:$K$370)," / ",SUMIF($F$6:$F$370,$F198,$K$6:$K$370))</f>
        <v>0 / 0</v>
      </c>
      <c r="J198" s="28" t="str">
        <f>CONCATENATE(SUM($K$6:$K198)," / ",SUM($K$6:$K$370))</f>
        <v>651,895 / 651,895</v>
      </c>
      <c r="K198" s="244">
        <v>0</v>
      </c>
      <c r="L198" s="28"/>
      <c r="M198" s="28" t="str">
        <f>CONCATENATE(SUMIF($E$6:$E198,$E198,$P$6:$P$370)," / ",SUMIF($E$6:$E$370,$E198,$P$6:$P$370))</f>
        <v>0 / 0</v>
      </c>
      <c r="N198" s="28" t="str">
        <f ca="1">CONCATENATE(SUMIF($F$6:$F198,$F198,$P198)," / ",SUMIF($F$6:$F$370,$F198,$P$6:$P$370))</f>
        <v>0 / 0</v>
      </c>
      <c r="O198" s="28" t="str">
        <f>CONCATENATE(SUM($P$6:$P198)," / ",SUM($P$6:$P562))</f>
        <v>528 / 528</v>
      </c>
      <c r="P198" s="244">
        <v>0</v>
      </c>
      <c r="Q198" s="28"/>
      <c r="R198" s="245">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399">
        <v>42563</v>
      </c>
      <c r="C199" s="35" t="str">
        <f t="shared" ref="C199:C262" si="15">IF(EXACT(WEEKDAY(B199),1),"Dimanche",IF(EXACT(WEEKDAY(B199),2),"Lundi",IF(EXACT(WEEKDAY(B199),3),"Mardi",IF(EXACT(WEEKDAY(B199),4),"Mercredi",IF(EXACT(WEEKDAY(B199),5),"Jeudi",IF(EXACT(WEEKDAY(B199),6),"Vendredi",IF(EXACT(WEEKDAY(B199),7),"Samedi","Erreur de date")))))))</f>
        <v>Mardi</v>
      </c>
      <c r="D199" s="35">
        <f t="shared" si="14"/>
        <v>194</v>
      </c>
      <c r="E199" s="124">
        <f t="shared" ref="E199:E262" si="16">WEEKNUM($B199)</f>
        <v>29</v>
      </c>
      <c r="F199" s="124">
        <f t="shared" ref="F199:F262" si="17">MONTH(B199)</f>
        <v>7</v>
      </c>
      <c r="G199" s="27"/>
      <c r="H199" s="28" t="str">
        <f>CONCATENATE(SUMIF($E$6:$E199,$E199,$K$6:$K$370)," / ",SUMIF($E$6:$E$370,$E199,$K$6:$K$370))</f>
        <v>0 / 0</v>
      </c>
      <c r="I199" s="28" t="str">
        <f>CONCATENATE(SUMIF($F$6:$F199,$F199,$K$6:$K$370)," / ",SUMIF($F$6:$F$370,$F199,$K$6:$K$370))</f>
        <v>0 / 0</v>
      </c>
      <c r="J199" s="28" t="str">
        <f>CONCATENATE(SUM($K$6:$K199)," / ",SUM($K$6:$K$370))</f>
        <v>651,895 / 651,895</v>
      </c>
      <c r="K199" s="244">
        <v>0</v>
      </c>
      <c r="L199" s="28"/>
      <c r="M199" s="28" t="str">
        <f>CONCATENATE(SUMIF($E$6:$E199,$E199,$P$6:$P$370)," / ",SUMIF($E$6:$E$370,$E199,$P$6:$P$370))</f>
        <v>0 / 0</v>
      </c>
      <c r="N199" s="28" t="str">
        <f ca="1">CONCATENATE(SUMIF($F$6:$F199,$F199,$P199)," / ",SUMIF($F$6:$F$370,$F199,$P$6:$P$370))</f>
        <v>0 / 0</v>
      </c>
      <c r="O199" s="28" t="str">
        <f>CONCATENATE(SUM($P$6:$P199)," / ",SUM($P$6:$P563))</f>
        <v>528 / 528</v>
      </c>
      <c r="P199" s="244">
        <v>0</v>
      </c>
      <c r="Q199" s="28"/>
      <c r="R199" s="245">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399">
        <v>42564</v>
      </c>
      <c r="C200" s="35" t="str">
        <f t="shared" si="15"/>
        <v>Mercredi</v>
      </c>
      <c r="D200" s="35">
        <f t="shared" ref="D200:D263" si="18">D199+1</f>
        <v>195</v>
      </c>
      <c r="E200" s="124">
        <f t="shared" si="16"/>
        <v>29</v>
      </c>
      <c r="F200" s="124">
        <f t="shared" si="17"/>
        <v>7</v>
      </c>
      <c r="G200" s="27"/>
      <c r="H200" s="28" t="str">
        <f>CONCATENATE(SUMIF($E$6:$E200,$E200,$K$6:$K$370)," / ",SUMIF($E$6:$E$370,$E200,$K$6:$K$370))</f>
        <v>0 / 0</v>
      </c>
      <c r="I200" s="28" t="str">
        <f>CONCATENATE(SUMIF($F$6:$F200,$F200,$K$6:$K$370)," / ",SUMIF($F$6:$F$370,$F200,$K$6:$K$370))</f>
        <v>0 / 0</v>
      </c>
      <c r="J200" s="28" t="str">
        <f>CONCATENATE(SUM($K$6:$K200)," / ",SUM($K$6:$K$370))</f>
        <v>651,895 / 651,895</v>
      </c>
      <c r="K200" s="244">
        <v>0</v>
      </c>
      <c r="L200" s="28"/>
      <c r="M200" s="28" t="str">
        <f>CONCATENATE(SUMIF($E$6:$E200,$E200,$P$6:$P$370)," / ",SUMIF($E$6:$E$370,$E200,$P$6:$P$370))</f>
        <v>0 / 0</v>
      </c>
      <c r="N200" s="28" t="str">
        <f ca="1">CONCATENATE(SUMIF($F$6:$F200,$F200,$P200)," / ",SUMIF($F$6:$F$370,$F200,$P$6:$P$370))</f>
        <v>0 / 0</v>
      </c>
      <c r="O200" s="28" t="str">
        <f>CONCATENATE(SUM($P$6:$P200)," / ",SUM($P$6:$P564))</f>
        <v>528 / 528</v>
      </c>
      <c r="P200" s="244">
        <v>0</v>
      </c>
      <c r="Q200" s="28"/>
      <c r="R200" s="245">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399">
        <v>42565</v>
      </c>
      <c r="C201" s="35" t="str">
        <f t="shared" si="15"/>
        <v>Jeudi</v>
      </c>
      <c r="D201" s="35">
        <f t="shared" si="18"/>
        <v>196</v>
      </c>
      <c r="E201" s="124">
        <f t="shared" si="16"/>
        <v>29</v>
      </c>
      <c r="F201" s="124">
        <f t="shared" si="17"/>
        <v>7</v>
      </c>
      <c r="G201" s="27"/>
      <c r="H201" s="28" t="str">
        <f>CONCATENATE(SUMIF($E$6:$E201,$E201,$K$6:$K$370)," / ",SUMIF($E$6:$E$370,$E201,$K$6:$K$370))</f>
        <v>0 / 0</v>
      </c>
      <c r="I201" s="28" t="str">
        <f>CONCATENATE(SUMIF($F$6:$F201,$F201,$K$6:$K$370)," / ",SUMIF($F$6:$F$370,$F201,$K$6:$K$370))</f>
        <v>0 / 0</v>
      </c>
      <c r="J201" s="28" t="str">
        <f>CONCATENATE(SUM($K$6:$K201)," / ",SUM($K$6:$K$370))</f>
        <v>651,895 / 651,895</v>
      </c>
      <c r="K201" s="244">
        <v>0</v>
      </c>
      <c r="L201" s="28"/>
      <c r="M201" s="28" t="str">
        <f>CONCATENATE(SUMIF($E$6:$E201,$E201,$P$6:$P$370)," / ",SUMIF($E$6:$E$370,$E201,$P$6:$P$370))</f>
        <v>0 / 0</v>
      </c>
      <c r="N201" s="28" t="str">
        <f ca="1">CONCATENATE(SUMIF($F$6:$F201,$F201,$P201)," / ",SUMIF($F$6:$F$370,$F201,$P$6:$P$370))</f>
        <v>0 / 0</v>
      </c>
      <c r="O201" s="28" t="str">
        <f>CONCATENATE(SUM($P$6:$P201)," / ",SUM($P$6:$P565))</f>
        <v>528 / 528</v>
      </c>
      <c r="P201" s="244">
        <v>0</v>
      </c>
      <c r="Q201" s="28"/>
      <c r="R201" s="245">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399">
        <v>42566</v>
      </c>
      <c r="C202" s="35" t="str">
        <f t="shared" si="15"/>
        <v>Vendredi</v>
      </c>
      <c r="D202" s="35">
        <f t="shared" si="18"/>
        <v>197</v>
      </c>
      <c r="E202" s="124">
        <f t="shared" si="16"/>
        <v>29</v>
      </c>
      <c r="F202" s="124">
        <f t="shared" si="17"/>
        <v>7</v>
      </c>
      <c r="G202" s="27"/>
      <c r="H202" s="28" t="str">
        <f>CONCATENATE(SUMIF($E$6:$E202,$E202,$K$6:$K$370)," / ",SUMIF($E$6:$E$370,$E202,$K$6:$K$370))</f>
        <v>0 / 0</v>
      </c>
      <c r="I202" s="28" t="str">
        <f>CONCATENATE(SUMIF($F$6:$F202,$F202,$K$6:$K$370)," / ",SUMIF($F$6:$F$370,$F202,$K$6:$K$370))</f>
        <v>0 / 0</v>
      </c>
      <c r="J202" s="28" t="str">
        <f>CONCATENATE(SUM($K$6:$K202)," / ",SUM($K$6:$K$370))</f>
        <v>651,895 / 651,895</v>
      </c>
      <c r="K202" s="244">
        <v>0</v>
      </c>
      <c r="L202" s="28"/>
      <c r="M202" s="28" t="str">
        <f>CONCATENATE(SUMIF($E$6:$E202,$E202,$P$6:$P$370)," / ",SUMIF($E$6:$E$370,$E202,$P$6:$P$370))</f>
        <v>0 / 0</v>
      </c>
      <c r="N202" s="28" t="str">
        <f ca="1">CONCATENATE(SUMIF($F$6:$F202,$F202,$P202)," / ",SUMIF($F$6:$F$370,$F202,$P$6:$P$370))</f>
        <v>0 / 0</v>
      </c>
      <c r="O202" s="28" t="str">
        <f>CONCATENATE(SUM($P$6:$P202)," / ",SUM($P$6:$P566))</f>
        <v>528 / 528</v>
      </c>
      <c r="P202" s="244">
        <v>0</v>
      </c>
      <c r="Q202" s="28"/>
      <c r="R202" s="245">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399">
        <v>42567</v>
      </c>
      <c r="C203" s="35" t="str">
        <f t="shared" si="15"/>
        <v>Samedi</v>
      </c>
      <c r="D203" s="35">
        <f t="shared" si="18"/>
        <v>198</v>
      </c>
      <c r="E203" s="124">
        <f t="shared" si="16"/>
        <v>29</v>
      </c>
      <c r="F203" s="124">
        <f t="shared" si="17"/>
        <v>7</v>
      </c>
      <c r="G203" s="27"/>
      <c r="H203" s="28" t="str">
        <f>CONCATENATE(SUMIF($E$6:$E203,$E203,$K$6:$K$370)," / ",SUMIF($E$6:$E$370,$E203,$K$6:$K$370))</f>
        <v>0 / 0</v>
      </c>
      <c r="I203" s="28" t="str">
        <f>CONCATENATE(SUMIF($F$6:$F203,$F203,$K$6:$K$370)," / ",SUMIF($F$6:$F$370,$F203,$K$6:$K$370))</f>
        <v>0 / 0</v>
      </c>
      <c r="J203" s="28" t="str">
        <f>CONCATENATE(SUM($K$6:$K203)," / ",SUM($K$6:$K$370))</f>
        <v>651,895 / 651,895</v>
      </c>
      <c r="K203" s="244">
        <v>0</v>
      </c>
      <c r="L203" s="28"/>
      <c r="M203" s="28" t="str">
        <f>CONCATENATE(SUMIF($E$6:$E203,$E203,$P$6:$P$370)," / ",SUMIF($E$6:$E$370,$E203,$P$6:$P$370))</f>
        <v>0 / 0</v>
      </c>
      <c r="N203" s="28" t="str">
        <f ca="1">CONCATENATE(SUMIF($F$6:$F203,$F203,$P203)," / ",SUMIF($F$6:$F$370,$F203,$P$6:$P$370))</f>
        <v>0 / 0</v>
      </c>
      <c r="O203" s="28" t="str">
        <f>CONCATENATE(SUM($P$6:$P203)," / ",SUM($P$6:$P567))</f>
        <v>528 / 528</v>
      </c>
      <c r="P203" s="244">
        <v>0</v>
      </c>
      <c r="Q203" s="28"/>
      <c r="R203" s="245">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399">
        <v>42568</v>
      </c>
      <c r="C204" s="35" t="str">
        <f t="shared" si="15"/>
        <v>Dimanche</v>
      </c>
      <c r="D204" s="35">
        <f t="shared" si="18"/>
        <v>199</v>
      </c>
      <c r="E204" s="124">
        <f t="shared" si="16"/>
        <v>30</v>
      </c>
      <c r="F204" s="124">
        <f t="shared" si="17"/>
        <v>7</v>
      </c>
      <c r="G204" s="27"/>
      <c r="H204" s="28" t="str">
        <f>CONCATENATE(SUMIF($E$6:$E204,$E204,$K$6:$K$370)," / ",SUMIF($E$6:$E$370,$E204,$K$6:$K$370))</f>
        <v>0 / 0</v>
      </c>
      <c r="I204" s="28" t="str">
        <f>CONCATENATE(SUMIF($F$6:$F204,$F204,$K$6:$K$370)," / ",SUMIF($F$6:$F$370,$F204,$K$6:$K$370))</f>
        <v>0 / 0</v>
      </c>
      <c r="J204" s="28" t="str">
        <f>CONCATENATE(SUM($K$6:$K204)," / ",SUM($K$6:$K$370))</f>
        <v>651,895 / 651,895</v>
      </c>
      <c r="K204" s="244">
        <v>0</v>
      </c>
      <c r="L204" s="28"/>
      <c r="M204" s="28" t="str">
        <f>CONCATENATE(SUMIF($E$6:$E204,$E204,$P$6:$P$370)," / ",SUMIF($E$6:$E$370,$E204,$P$6:$P$370))</f>
        <v>0 / 0</v>
      </c>
      <c r="N204" s="28" t="str">
        <f ca="1">CONCATENATE(SUMIF($F$6:$F204,$F204,$P204)," / ",SUMIF($F$6:$F$370,$F204,$P$6:$P$370))</f>
        <v>0 / 0</v>
      </c>
      <c r="O204" s="28" t="str">
        <f>CONCATENATE(SUM($P$6:$P204)," / ",SUM($P$6:$P568))</f>
        <v>528 / 528</v>
      </c>
      <c r="P204" s="244">
        <v>0</v>
      </c>
      <c r="Q204" s="28"/>
      <c r="R204" s="245">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399">
        <v>42569</v>
      </c>
      <c r="C205" s="35" t="str">
        <f t="shared" si="15"/>
        <v>Lundi</v>
      </c>
      <c r="D205" s="35">
        <f t="shared" si="18"/>
        <v>200</v>
      </c>
      <c r="E205" s="124">
        <f t="shared" si="16"/>
        <v>30</v>
      </c>
      <c r="F205" s="124">
        <f t="shared" si="17"/>
        <v>7</v>
      </c>
      <c r="G205" s="27"/>
      <c r="H205" s="28" t="str">
        <f>CONCATENATE(SUMIF($E$6:$E205,$E205,$K$6:$K$370)," / ",SUMIF($E$6:$E$370,$E205,$K$6:$K$370))</f>
        <v>0 / 0</v>
      </c>
      <c r="I205" s="28" t="str">
        <f>CONCATENATE(SUMIF($F$6:$F205,$F205,$K$6:$K$370)," / ",SUMIF($F$6:$F$370,$F205,$K$6:$K$370))</f>
        <v>0 / 0</v>
      </c>
      <c r="J205" s="28" t="str">
        <f>CONCATENATE(SUM($K$6:$K205)," / ",SUM($K$6:$K$370))</f>
        <v>651,895 / 651,895</v>
      </c>
      <c r="K205" s="244">
        <v>0</v>
      </c>
      <c r="L205" s="28"/>
      <c r="M205" s="28" t="str">
        <f>CONCATENATE(SUMIF($E$6:$E205,$E205,$P$6:$P$370)," / ",SUMIF($E$6:$E$370,$E205,$P$6:$P$370))</f>
        <v>0 / 0</v>
      </c>
      <c r="N205" s="28" t="str">
        <f ca="1">CONCATENATE(SUMIF($F$6:$F205,$F205,$P205)," / ",SUMIF($F$6:$F$370,$F205,$P$6:$P$370))</f>
        <v>0 / 0</v>
      </c>
      <c r="O205" s="28" t="str">
        <f>CONCATENATE(SUM($P$6:$P205)," / ",SUM($P$6:$P569))</f>
        <v>528 / 528</v>
      </c>
      <c r="P205" s="244">
        <v>0</v>
      </c>
      <c r="Q205" s="28"/>
      <c r="R205" s="245">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399">
        <v>42570</v>
      </c>
      <c r="C206" s="35" t="str">
        <f t="shared" si="15"/>
        <v>Mardi</v>
      </c>
      <c r="D206" s="35">
        <f t="shared" si="18"/>
        <v>201</v>
      </c>
      <c r="E206" s="124">
        <f t="shared" si="16"/>
        <v>30</v>
      </c>
      <c r="F206" s="124">
        <f t="shared" si="17"/>
        <v>7</v>
      </c>
      <c r="G206" s="27"/>
      <c r="H206" s="28" t="str">
        <f>CONCATENATE(SUMIF($E$6:$E206,$E206,$K$6:$K$370)," / ",SUMIF($E$6:$E$370,$E206,$K$6:$K$370))</f>
        <v>0 / 0</v>
      </c>
      <c r="I206" s="28" t="str">
        <f>CONCATENATE(SUMIF($F$6:$F206,$F206,$K$6:$K$370)," / ",SUMIF($F$6:$F$370,$F206,$K$6:$K$370))</f>
        <v>0 / 0</v>
      </c>
      <c r="J206" s="28" t="str">
        <f>CONCATENATE(SUM($K$6:$K206)," / ",SUM($K$6:$K$370))</f>
        <v>651,895 / 651,895</v>
      </c>
      <c r="K206" s="244">
        <v>0</v>
      </c>
      <c r="L206" s="28"/>
      <c r="M206" s="28" t="str">
        <f>CONCATENATE(SUMIF($E$6:$E206,$E206,$P$6:$P$370)," / ",SUMIF($E$6:$E$370,$E206,$P$6:$P$370))</f>
        <v>0 / 0</v>
      </c>
      <c r="N206" s="28" t="str">
        <f ca="1">CONCATENATE(SUMIF($F$6:$F206,$F206,$P206)," / ",SUMIF($F$6:$F$370,$F206,$P$6:$P$370))</f>
        <v>0 / 0</v>
      </c>
      <c r="O206" s="28" t="str">
        <f>CONCATENATE(SUM($P$6:$P206)," / ",SUM($P$6:$P570))</f>
        <v>528 / 528</v>
      </c>
      <c r="P206" s="244">
        <v>0</v>
      </c>
      <c r="Q206" s="28"/>
      <c r="R206" s="245">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399">
        <v>42571</v>
      </c>
      <c r="C207" s="35" t="str">
        <f t="shared" si="15"/>
        <v>Mercredi</v>
      </c>
      <c r="D207" s="35">
        <f t="shared" si="18"/>
        <v>202</v>
      </c>
      <c r="E207" s="124">
        <f t="shared" si="16"/>
        <v>30</v>
      </c>
      <c r="F207" s="124">
        <f t="shared" si="17"/>
        <v>7</v>
      </c>
      <c r="G207" s="27"/>
      <c r="H207" s="28" t="str">
        <f>CONCATENATE(SUMIF($E$6:$E207,$E207,$K$6:$K$370)," / ",SUMIF($E$6:$E$370,$E207,$K$6:$K$370))</f>
        <v>0 / 0</v>
      </c>
      <c r="I207" s="28" t="str">
        <f>CONCATENATE(SUMIF($F$6:$F207,$F207,$K$6:$K$370)," / ",SUMIF($F$6:$F$370,$F207,$K$6:$K$370))</f>
        <v>0 / 0</v>
      </c>
      <c r="J207" s="28" t="str">
        <f>CONCATENATE(SUM($K$6:$K207)," / ",SUM($K$6:$K$370))</f>
        <v>651,895 / 651,895</v>
      </c>
      <c r="K207" s="244">
        <v>0</v>
      </c>
      <c r="L207" s="28"/>
      <c r="M207" s="28" t="str">
        <f>CONCATENATE(SUMIF($E$6:$E207,$E207,$P$6:$P$370)," / ",SUMIF($E$6:$E$370,$E207,$P$6:$P$370))</f>
        <v>0 / 0</v>
      </c>
      <c r="N207" s="28" t="str">
        <f ca="1">CONCATENATE(SUMIF($F$6:$F207,$F207,$P207)," / ",SUMIF($F$6:$F$370,$F207,$P$6:$P$370))</f>
        <v>0 / 0</v>
      </c>
      <c r="O207" s="28" t="str">
        <f>CONCATENATE(SUM($P$6:$P207)," / ",SUM($P$6:$P571))</f>
        <v>528 / 528</v>
      </c>
      <c r="P207" s="244">
        <v>0</v>
      </c>
      <c r="Q207" s="28"/>
      <c r="R207" s="245">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399">
        <v>42572</v>
      </c>
      <c r="C208" s="35" t="str">
        <f t="shared" si="15"/>
        <v>Jeudi</v>
      </c>
      <c r="D208" s="35">
        <f t="shared" si="18"/>
        <v>203</v>
      </c>
      <c r="E208" s="124">
        <f t="shared" si="16"/>
        <v>30</v>
      </c>
      <c r="F208" s="124">
        <f t="shared" si="17"/>
        <v>7</v>
      </c>
      <c r="G208" s="27"/>
      <c r="H208" s="28" t="str">
        <f>CONCATENATE(SUMIF($E$6:$E208,$E208,$K$6:$K$370)," / ",SUMIF($E$6:$E$370,$E208,$K$6:$K$370))</f>
        <v>0 / 0</v>
      </c>
      <c r="I208" s="28" t="str">
        <f>CONCATENATE(SUMIF($F$6:$F208,$F208,$K$6:$K$370)," / ",SUMIF($F$6:$F$370,$F208,$K$6:$K$370))</f>
        <v>0 / 0</v>
      </c>
      <c r="J208" s="28" t="str">
        <f>CONCATENATE(SUM($K$6:$K208)," / ",SUM($K$6:$K$370))</f>
        <v>651,895 / 651,895</v>
      </c>
      <c r="K208" s="244">
        <v>0</v>
      </c>
      <c r="L208" s="28"/>
      <c r="M208" s="28" t="str">
        <f>CONCATENATE(SUMIF($E$6:$E208,$E208,$P$6:$P$370)," / ",SUMIF($E$6:$E$370,$E208,$P$6:$P$370))</f>
        <v>0 / 0</v>
      </c>
      <c r="N208" s="28" t="str">
        <f ca="1">CONCATENATE(SUMIF($F$6:$F208,$F208,$P208)," / ",SUMIF($F$6:$F$370,$F208,$P$6:$P$370))</f>
        <v>0 / 0</v>
      </c>
      <c r="O208" s="28" t="str">
        <f>CONCATENATE(SUM($P$6:$P208)," / ",SUM($P$6:$P572))</f>
        <v>528 / 528</v>
      </c>
      <c r="P208" s="244">
        <v>0</v>
      </c>
      <c r="Q208" s="28"/>
      <c r="R208" s="245">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399">
        <v>42573</v>
      </c>
      <c r="C209" s="35" t="str">
        <f t="shared" si="15"/>
        <v>Vendredi</v>
      </c>
      <c r="D209" s="35">
        <f t="shared" si="18"/>
        <v>204</v>
      </c>
      <c r="E209" s="124">
        <f t="shared" si="16"/>
        <v>30</v>
      </c>
      <c r="F209" s="124">
        <f t="shared" si="17"/>
        <v>7</v>
      </c>
      <c r="G209" s="27"/>
      <c r="H209" s="28" t="str">
        <f>CONCATENATE(SUMIF($E$6:$E209,$E209,$K$6:$K$370)," / ",SUMIF($E$6:$E$370,$E209,$K$6:$K$370))</f>
        <v>0 / 0</v>
      </c>
      <c r="I209" s="28" t="str">
        <f>CONCATENATE(SUMIF($F$6:$F209,$F209,$K$6:$K$370)," / ",SUMIF($F$6:$F$370,$F209,$K$6:$K$370))</f>
        <v>0 / 0</v>
      </c>
      <c r="J209" s="28" t="str">
        <f>CONCATENATE(SUM($K$6:$K209)," / ",SUM($K$6:$K$370))</f>
        <v>651,895 / 651,895</v>
      </c>
      <c r="K209" s="244">
        <v>0</v>
      </c>
      <c r="L209" s="28"/>
      <c r="M209" s="28" t="str">
        <f>CONCATENATE(SUMIF($E$6:$E209,$E209,$P$6:$P$370)," / ",SUMIF($E$6:$E$370,$E209,$P$6:$P$370))</f>
        <v>0 / 0</v>
      </c>
      <c r="N209" s="28" t="str">
        <f ca="1">CONCATENATE(SUMIF($F$6:$F209,$F209,$P209)," / ",SUMIF($F$6:$F$370,$F209,$P$6:$P$370))</f>
        <v>0 / 0</v>
      </c>
      <c r="O209" s="28" t="str">
        <f>CONCATENATE(SUM($P$6:$P209)," / ",SUM($P$6:$P573))</f>
        <v>528 / 528</v>
      </c>
      <c r="P209" s="244">
        <v>0</v>
      </c>
      <c r="Q209" s="28"/>
      <c r="R209" s="245">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399">
        <v>42574</v>
      </c>
      <c r="C210" s="35" t="str">
        <f t="shared" si="15"/>
        <v>Samedi</v>
      </c>
      <c r="D210" s="35">
        <f t="shared" si="18"/>
        <v>205</v>
      </c>
      <c r="E210" s="124">
        <f t="shared" si="16"/>
        <v>30</v>
      </c>
      <c r="F210" s="124">
        <f t="shared" si="17"/>
        <v>7</v>
      </c>
      <c r="G210" s="27"/>
      <c r="H210" s="28" t="str">
        <f>CONCATENATE(SUMIF($E$6:$E210,$E210,$K$6:$K$370)," / ",SUMIF($E$6:$E$370,$E210,$K$6:$K$370))</f>
        <v>0 / 0</v>
      </c>
      <c r="I210" s="28" t="str">
        <f>CONCATENATE(SUMIF($F$6:$F210,$F210,$K$6:$K$370)," / ",SUMIF($F$6:$F$370,$F210,$K$6:$K$370))</f>
        <v>0 / 0</v>
      </c>
      <c r="J210" s="28" t="str">
        <f>CONCATENATE(SUM($K$6:$K210)," / ",SUM($K$6:$K$370))</f>
        <v>651,895 / 651,895</v>
      </c>
      <c r="K210" s="244">
        <v>0</v>
      </c>
      <c r="L210" s="28"/>
      <c r="M210" s="28" t="str">
        <f>CONCATENATE(SUMIF($E$6:$E210,$E210,$P$6:$P$370)," / ",SUMIF($E$6:$E$370,$E210,$P$6:$P$370))</f>
        <v>0 / 0</v>
      </c>
      <c r="N210" s="28" t="str">
        <f ca="1">CONCATENATE(SUMIF($F$6:$F210,$F210,$P210)," / ",SUMIF($F$6:$F$370,$F210,$P$6:$P$370))</f>
        <v>0 / 0</v>
      </c>
      <c r="O210" s="28" t="str">
        <f>CONCATENATE(SUM($P$6:$P210)," / ",SUM($P$6:$P574))</f>
        <v>528 / 528</v>
      </c>
      <c r="P210" s="244">
        <v>0</v>
      </c>
      <c r="Q210" s="28"/>
      <c r="R210" s="245">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399">
        <v>42575</v>
      </c>
      <c r="C211" s="35" t="str">
        <f t="shared" si="15"/>
        <v>Dimanche</v>
      </c>
      <c r="D211" s="35">
        <f t="shared" si="18"/>
        <v>206</v>
      </c>
      <c r="E211" s="124">
        <f t="shared" si="16"/>
        <v>31</v>
      </c>
      <c r="F211" s="124">
        <f t="shared" si="17"/>
        <v>7</v>
      </c>
      <c r="G211" s="27"/>
      <c r="H211" s="28" t="str">
        <f>CONCATENATE(SUMIF($E$6:$E211,$E211,$K$6:$K$370)," / ",SUMIF($E$6:$E$370,$E211,$K$6:$K$370))</f>
        <v>0 / 0</v>
      </c>
      <c r="I211" s="28" t="str">
        <f>CONCATENATE(SUMIF($F$6:$F211,$F211,$K$6:$K$370)," / ",SUMIF($F$6:$F$370,$F211,$K$6:$K$370))</f>
        <v>0 / 0</v>
      </c>
      <c r="J211" s="28" t="str">
        <f>CONCATENATE(SUM($K$6:$K211)," / ",SUM($K$6:$K$370))</f>
        <v>651,895 / 651,895</v>
      </c>
      <c r="K211" s="244">
        <v>0</v>
      </c>
      <c r="L211" s="28"/>
      <c r="M211" s="28" t="str">
        <f>CONCATENATE(SUMIF($E$6:$E211,$E211,$P$6:$P$370)," / ",SUMIF($E$6:$E$370,$E211,$P$6:$P$370))</f>
        <v>0 / 0</v>
      </c>
      <c r="N211" s="28" t="str">
        <f ca="1">CONCATENATE(SUMIF($F$6:$F211,$F211,$P211)," / ",SUMIF($F$6:$F$370,$F211,$P$6:$P$370))</f>
        <v>0 / 0</v>
      </c>
      <c r="O211" s="28" t="str">
        <f>CONCATENATE(SUM($P$6:$P211)," / ",SUM($P$6:$P575))</f>
        <v>528 / 528</v>
      </c>
      <c r="P211" s="244">
        <v>0</v>
      </c>
      <c r="Q211" s="28"/>
      <c r="R211" s="245">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399">
        <v>42576</v>
      </c>
      <c r="C212" s="35" t="str">
        <f t="shared" si="15"/>
        <v>Lundi</v>
      </c>
      <c r="D212" s="35">
        <f t="shared" si="18"/>
        <v>207</v>
      </c>
      <c r="E212" s="124">
        <f t="shared" si="16"/>
        <v>31</v>
      </c>
      <c r="F212" s="124">
        <f t="shared" si="17"/>
        <v>7</v>
      </c>
      <c r="G212" s="27"/>
      <c r="H212" s="28" t="str">
        <f>CONCATENATE(SUMIF($E$6:$E212,$E212,$K$6:$K$370)," / ",SUMIF($E$6:$E$370,$E212,$K$6:$K$370))</f>
        <v>0 / 0</v>
      </c>
      <c r="I212" s="28" t="str">
        <f>CONCATENATE(SUMIF($F$6:$F212,$F212,$K$6:$K$370)," / ",SUMIF($F$6:$F$370,$F212,$K$6:$K$370))</f>
        <v>0 / 0</v>
      </c>
      <c r="J212" s="28" t="str">
        <f>CONCATENATE(SUM($K$6:$K212)," / ",SUM($K$6:$K$370))</f>
        <v>651,895 / 651,895</v>
      </c>
      <c r="K212" s="244">
        <v>0</v>
      </c>
      <c r="L212" s="28"/>
      <c r="M212" s="28" t="str">
        <f>CONCATENATE(SUMIF($E$6:$E212,$E212,$P$6:$P$370)," / ",SUMIF($E$6:$E$370,$E212,$P$6:$P$370))</f>
        <v>0 / 0</v>
      </c>
      <c r="N212" s="28" t="str">
        <f ca="1">CONCATENATE(SUMIF($F$6:$F212,$F212,$P212)," / ",SUMIF($F$6:$F$370,$F212,$P$6:$P$370))</f>
        <v>0 / 0</v>
      </c>
      <c r="O212" s="28" t="str">
        <f>CONCATENATE(SUM($P$6:$P212)," / ",SUM($P$6:$P576))</f>
        <v>528 / 528</v>
      </c>
      <c r="P212" s="244">
        <v>0</v>
      </c>
      <c r="Q212" s="28"/>
      <c r="R212" s="245">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399">
        <v>42577</v>
      </c>
      <c r="C213" s="35" t="str">
        <f t="shared" si="15"/>
        <v>Mardi</v>
      </c>
      <c r="D213" s="35">
        <f t="shared" si="18"/>
        <v>208</v>
      </c>
      <c r="E213" s="124">
        <f t="shared" si="16"/>
        <v>31</v>
      </c>
      <c r="F213" s="124">
        <f t="shared" si="17"/>
        <v>7</v>
      </c>
      <c r="G213" s="27"/>
      <c r="H213" s="28" t="str">
        <f>CONCATENATE(SUMIF($E$6:$E213,$E213,$K$6:$K$370)," / ",SUMIF($E$6:$E$370,$E213,$K$6:$K$370))</f>
        <v>0 / 0</v>
      </c>
      <c r="I213" s="28" t="str">
        <f>CONCATENATE(SUMIF($F$6:$F213,$F213,$K$6:$K$370)," / ",SUMIF($F$6:$F$370,$F213,$K$6:$K$370))</f>
        <v>0 / 0</v>
      </c>
      <c r="J213" s="28" t="str">
        <f>CONCATENATE(SUM($K$6:$K213)," / ",SUM($K$6:$K$370))</f>
        <v>651,895 / 651,895</v>
      </c>
      <c r="K213" s="244">
        <v>0</v>
      </c>
      <c r="L213" s="28"/>
      <c r="M213" s="28" t="str">
        <f>CONCATENATE(SUMIF($E$6:$E213,$E213,$P$6:$P$370)," / ",SUMIF($E$6:$E$370,$E213,$P$6:$P$370))</f>
        <v>0 / 0</v>
      </c>
      <c r="N213" s="28" t="str">
        <f ca="1">CONCATENATE(SUMIF($F$6:$F213,$F213,$P213)," / ",SUMIF($F$6:$F$370,$F213,$P$6:$P$370))</f>
        <v>0 / 0</v>
      </c>
      <c r="O213" s="28" t="str">
        <f>CONCATENATE(SUM($P$6:$P213)," / ",SUM($P$6:$P577))</f>
        <v>528 / 528</v>
      </c>
      <c r="P213" s="244">
        <v>0</v>
      </c>
      <c r="Q213" s="28"/>
      <c r="R213" s="245">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399">
        <v>42578</v>
      </c>
      <c r="C214" s="35" t="str">
        <f t="shared" si="15"/>
        <v>Mercredi</v>
      </c>
      <c r="D214" s="35">
        <f t="shared" si="18"/>
        <v>209</v>
      </c>
      <c r="E214" s="124">
        <f t="shared" si="16"/>
        <v>31</v>
      </c>
      <c r="F214" s="124">
        <f t="shared" si="17"/>
        <v>7</v>
      </c>
      <c r="G214" s="27"/>
      <c r="H214" s="28" t="str">
        <f>CONCATENATE(SUMIF($E$6:$E214,$E214,$K$6:$K$370)," / ",SUMIF($E$6:$E$370,$E214,$K$6:$K$370))</f>
        <v>0 / 0</v>
      </c>
      <c r="I214" s="28" t="str">
        <f>CONCATENATE(SUMIF($F$6:$F214,$F214,$K$6:$K$370)," / ",SUMIF($F$6:$F$370,$F214,$K$6:$K$370))</f>
        <v>0 / 0</v>
      </c>
      <c r="J214" s="28" t="str">
        <f>CONCATENATE(SUM($K$6:$K214)," / ",SUM($K$6:$K$370))</f>
        <v>651,895 / 651,895</v>
      </c>
      <c r="K214" s="244">
        <v>0</v>
      </c>
      <c r="L214" s="28"/>
      <c r="M214" s="28" t="str">
        <f>CONCATENATE(SUMIF($E$6:$E214,$E214,$P$6:$P$370)," / ",SUMIF($E$6:$E$370,$E214,$P$6:$P$370))</f>
        <v>0 / 0</v>
      </c>
      <c r="N214" s="28" t="str">
        <f ca="1">CONCATENATE(SUMIF($F$6:$F214,$F214,$P214)," / ",SUMIF($F$6:$F$370,$F214,$P$6:$P$370))</f>
        <v>0 / 0</v>
      </c>
      <c r="O214" s="28" t="str">
        <f>CONCATENATE(SUM($P$6:$P214)," / ",SUM($P$6:$P578))</f>
        <v>528 / 528</v>
      </c>
      <c r="P214" s="244">
        <v>0</v>
      </c>
      <c r="Q214" s="28"/>
      <c r="R214" s="245">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399">
        <v>42579</v>
      </c>
      <c r="C215" s="35" t="str">
        <f t="shared" si="15"/>
        <v>Jeudi</v>
      </c>
      <c r="D215" s="35">
        <f t="shared" si="18"/>
        <v>210</v>
      </c>
      <c r="E215" s="124">
        <f t="shared" si="16"/>
        <v>31</v>
      </c>
      <c r="F215" s="124">
        <f t="shared" si="17"/>
        <v>7</v>
      </c>
      <c r="G215" s="27"/>
      <c r="H215" s="28" t="str">
        <f>CONCATENATE(SUMIF($E$6:$E215,$E215,$K$6:$K$370)," / ",SUMIF($E$6:$E$370,$E215,$K$6:$K$370))</f>
        <v>0 / 0</v>
      </c>
      <c r="I215" s="28" t="str">
        <f>CONCATENATE(SUMIF($F$6:$F215,$F215,$K$6:$K$370)," / ",SUMIF($F$6:$F$370,$F215,$K$6:$K$370))</f>
        <v>0 / 0</v>
      </c>
      <c r="J215" s="28" t="str">
        <f>CONCATENATE(SUM($K$6:$K215)," / ",SUM($K$6:$K$370))</f>
        <v>651,895 / 651,895</v>
      </c>
      <c r="K215" s="244">
        <v>0</v>
      </c>
      <c r="L215" s="28"/>
      <c r="M215" s="28" t="str">
        <f>CONCATENATE(SUMIF($E$6:$E215,$E215,$P$6:$P$370)," / ",SUMIF($E$6:$E$370,$E215,$P$6:$P$370))</f>
        <v>0 / 0</v>
      </c>
      <c r="N215" s="28" t="str">
        <f ca="1">CONCATENATE(SUMIF($F$6:$F215,$F215,$P215)," / ",SUMIF($F$6:$F$370,$F215,$P$6:$P$370))</f>
        <v>0 / 0</v>
      </c>
      <c r="O215" s="28" t="str">
        <f>CONCATENATE(SUM($P$6:$P215)," / ",SUM($P$6:$P579))</f>
        <v>528 / 528</v>
      </c>
      <c r="P215" s="244">
        <v>0</v>
      </c>
      <c r="Q215" s="28"/>
      <c r="R215" s="245">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399">
        <v>42580</v>
      </c>
      <c r="C216" s="35" t="str">
        <f t="shared" si="15"/>
        <v>Vendredi</v>
      </c>
      <c r="D216" s="35">
        <f t="shared" si="18"/>
        <v>211</v>
      </c>
      <c r="E216" s="124">
        <f t="shared" si="16"/>
        <v>31</v>
      </c>
      <c r="F216" s="124">
        <f t="shared" si="17"/>
        <v>7</v>
      </c>
      <c r="G216" s="27"/>
      <c r="H216" s="28" t="str">
        <f>CONCATENATE(SUMIF($E$6:$E216,$E216,$K$6:$K$370)," / ",SUMIF($E$6:$E$370,$E216,$K$6:$K$370))</f>
        <v>0 / 0</v>
      </c>
      <c r="I216" s="28" t="str">
        <f>CONCATENATE(SUMIF($F$6:$F216,$F216,$K$6:$K$370)," / ",SUMIF($F$6:$F$370,$F216,$K$6:$K$370))</f>
        <v>0 / 0</v>
      </c>
      <c r="J216" s="28" t="str">
        <f>CONCATENATE(SUM($K$6:$K216)," / ",SUM($K$6:$K$370))</f>
        <v>651,895 / 651,895</v>
      </c>
      <c r="K216" s="244">
        <v>0</v>
      </c>
      <c r="L216" s="28"/>
      <c r="M216" s="28" t="str">
        <f>CONCATENATE(SUMIF($E$6:$E216,$E216,$P$6:$P$370)," / ",SUMIF($E$6:$E$370,$E216,$P$6:$P$370))</f>
        <v>0 / 0</v>
      </c>
      <c r="N216" s="28" t="str">
        <f ca="1">CONCATENATE(SUMIF($F$6:$F216,$F216,$P216)," / ",SUMIF($F$6:$F$370,$F216,$P$6:$P$370))</f>
        <v>0 / 0</v>
      </c>
      <c r="O216" s="28" t="str">
        <f>CONCATENATE(SUM($P$6:$P216)," / ",SUM($P$6:$P580))</f>
        <v>528 / 528</v>
      </c>
      <c r="P216" s="244">
        <v>0</v>
      </c>
      <c r="Q216" s="28"/>
      <c r="R216" s="245">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399">
        <v>42581</v>
      </c>
      <c r="C217" s="35" t="str">
        <f t="shared" si="15"/>
        <v>Samedi</v>
      </c>
      <c r="D217" s="35">
        <f t="shared" si="18"/>
        <v>212</v>
      </c>
      <c r="E217" s="124">
        <f t="shared" si="16"/>
        <v>31</v>
      </c>
      <c r="F217" s="124">
        <f t="shared" si="17"/>
        <v>7</v>
      </c>
      <c r="G217" s="27"/>
      <c r="H217" s="28" t="str">
        <f>CONCATENATE(SUMIF($E$6:$E217,$E217,$K$6:$K$370)," / ",SUMIF($E$6:$E$370,$E217,$K$6:$K$370))</f>
        <v>0 / 0</v>
      </c>
      <c r="I217" s="28" t="str">
        <f>CONCATENATE(SUMIF($F$6:$F217,$F217,$K$6:$K$370)," / ",SUMIF($F$6:$F$370,$F217,$K$6:$K$370))</f>
        <v>0 / 0</v>
      </c>
      <c r="J217" s="28" t="str">
        <f>CONCATENATE(SUM($K$6:$K217)," / ",SUM($K$6:$K$370))</f>
        <v>651,895 / 651,895</v>
      </c>
      <c r="K217" s="244">
        <v>0</v>
      </c>
      <c r="L217" s="28"/>
      <c r="M217" s="28" t="str">
        <f>CONCATENATE(SUMIF($E$6:$E217,$E217,$P$6:$P$370)," / ",SUMIF($E$6:$E$370,$E217,$P$6:$P$370))</f>
        <v>0 / 0</v>
      </c>
      <c r="N217" s="28" t="str">
        <f ca="1">CONCATENATE(SUMIF($F$6:$F217,$F217,$P217)," / ",SUMIF($F$6:$F$370,$F217,$P$6:$P$370))</f>
        <v>0 / 0</v>
      </c>
      <c r="O217" s="28" t="str">
        <f>CONCATENATE(SUM($P$6:$P217)," / ",SUM($P$6:$P581))</f>
        <v>528 / 528</v>
      </c>
      <c r="P217" s="244">
        <v>0</v>
      </c>
      <c r="Q217" s="28"/>
      <c r="R217" s="245">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399">
        <v>42582</v>
      </c>
      <c r="C218" s="35" t="str">
        <f t="shared" si="15"/>
        <v>Dimanche</v>
      </c>
      <c r="D218" s="35">
        <f t="shared" si="18"/>
        <v>213</v>
      </c>
      <c r="E218" s="124">
        <f t="shared" si="16"/>
        <v>32</v>
      </c>
      <c r="F218" s="124">
        <f t="shared" si="17"/>
        <v>7</v>
      </c>
      <c r="G218" s="27"/>
      <c r="H218" s="28" t="str">
        <f>CONCATENATE(SUMIF($E$6:$E218,$E218,$K$6:$K$370)," / ",SUMIF($E$6:$E$370,$E218,$K$6:$K$370))</f>
        <v>0 / 0</v>
      </c>
      <c r="I218" s="28" t="str">
        <f>CONCATENATE(SUMIF($F$6:$F218,$F218,$K$6:$K$370)," / ",SUMIF($F$6:$F$370,$F218,$K$6:$K$370))</f>
        <v>0 / 0</v>
      </c>
      <c r="J218" s="28" t="str">
        <f>CONCATENATE(SUM($K$6:$K218)," / ",SUM($K$6:$K$370))</f>
        <v>651,895 / 651,895</v>
      </c>
      <c r="K218" s="244">
        <v>0</v>
      </c>
      <c r="L218" s="28"/>
      <c r="M218" s="28" t="str">
        <f>CONCATENATE(SUMIF($E$6:$E218,$E218,$P$6:$P$370)," / ",SUMIF($E$6:$E$370,$E218,$P$6:$P$370))</f>
        <v>0 / 0</v>
      </c>
      <c r="N218" s="28" t="str">
        <f ca="1">CONCATENATE(SUMIF($F$6:$F218,$F218,$P218)," / ",SUMIF($F$6:$F$370,$F218,$P$6:$P$370))</f>
        <v>0 / 0</v>
      </c>
      <c r="O218" s="28" t="str">
        <f>CONCATENATE(SUM($P$6:$P218)," / ",SUM($P$6:$P582))</f>
        <v>528 / 528</v>
      </c>
      <c r="P218" s="244">
        <v>0</v>
      </c>
      <c r="Q218" s="28"/>
      <c r="R218" s="245">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399">
        <v>42583</v>
      </c>
      <c r="C219" s="35" t="str">
        <f t="shared" si="15"/>
        <v>Lundi</v>
      </c>
      <c r="D219" s="35">
        <f t="shared" si="18"/>
        <v>214</v>
      </c>
      <c r="E219" s="124">
        <f t="shared" si="16"/>
        <v>32</v>
      </c>
      <c r="F219" s="124">
        <f t="shared" si="17"/>
        <v>8</v>
      </c>
      <c r="G219" s="27"/>
      <c r="H219" s="28" t="str">
        <f>CONCATENATE(SUMIF($E$6:$E219,$E219,$K$6:$K$370)," / ",SUMIF($E$6:$E$370,$E219,$K$6:$K$370))</f>
        <v>0 / 0</v>
      </c>
      <c r="I219" s="28" t="str">
        <f>CONCATENATE(SUMIF($F$6:$F219,$F219,$K$6:$K$370)," / ",SUMIF($F$6:$F$370,$F219,$K$6:$K$370))</f>
        <v>0 / 0</v>
      </c>
      <c r="J219" s="28" t="str">
        <f>CONCATENATE(SUM($K$6:$K219)," / ",SUM($K$6:$K$370))</f>
        <v>651,895 / 651,895</v>
      </c>
      <c r="K219" s="244">
        <v>0</v>
      </c>
      <c r="L219" s="28"/>
      <c r="M219" s="28" t="str">
        <f>CONCATENATE(SUMIF($E$6:$E219,$E219,$P$6:$P$370)," / ",SUMIF($E$6:$E$370,$E219,$P$6:$P$370))</f>
        <v>0 / 0</v>
      </c>
      <c r="N219" s="28" t="str">
        <f ca="1">CONCATENATE(SUMIF($F$6:$F219,$F219,$P219)," / ",SUMIF($F$6:$F$370,$F219,$P$6:$P$370))</f>
        <v>0 / 0</v>
      </c>
      <c r="O219" s="28" t="str">
        <f>CONCATENATE(SUM($P$6:$P219)," / ",SUM($P$6:$P583))</f>
        <v>528 / 528</v>
      </c>
      <c r="P219" s="244">
        <v>0</v>
      </c>
      <c r="Q219" s="28"/>
      <c r="R219" s="245">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399">
        <v>42584</v>
      </c>
      <c r="C220" s="35" t="str">
        <f t="shared" si="15"/>
        <v>Mardi</v>
      </c>
      <c r="D220" s="35">
        <f t="shared" si="18"/>
        <v>215</v>
      </c>
      <c r="E220" s="124">
        <f t="shared" si="16"/>
        <v>32</v>
      </c>
      <c r="F220" s="124">
        <f t="shared" si="17"/>
        <v>8</v>
      </c>
      <c r="G220" s="27"/>
      <c r="H220" s="28" t="str">
        <f>CONCATENATE(SUMIF($E$6:$E220,$E220,$K$6:$K$370)," / ",SUMIF($E$6:$E$370,$E220,$K$6:$K$370))</f>
        <v>0 / 0</v>
      </c>
      <c r="I220" s="28" t="str">
        <f>CONCATENATE(SUMIF($F$6:$F220,$F220,$K$6:$K$370)," / ",SUMIF($F$6:$F$370,$F220,$K$6:$K$370))</f>
        <v>0 / 0</v>
      </c>
      <c r="J220" s="28" t="str">
        <f>CONCATENATE(SUM($K$6:$K220)," / ",SUM($K$6:$K$370))</f>
        <v>651,895 / 651,895</v>
      </c>
      <c r="K220" s="244">
        <v>0</v>
      </c>
      <c r="L220" s="28"/>
      <c r="M220" s="28" t="str">
        <f>CONCATENATE(SUMIF($E$6:$E220,$E220,$P$6:$P$370)," / ",SUMIF($E$6:$E$370,$E220,$P$6:$P$370))</f>
        <v>0 / 0</v>
      </c>
      <c r="N220" s="28" t="str">
        <f ca="1">CONCATENATE(SUMIF($F$6:$F220,$F220,$P220)," / ",SUMIF($F$6:$F$370,$F220,$P$6:$P$370))</f>
        <v>0 / 0</v>
      </c>
      <c r="O220" s="28" t="str">
        <f>CONCATENATE(SUM($P$6:$P220)," / ",SUM($P$6:$P584))</f>
        <v>528 / 528</v>
      </c>
      <c r="P220" s="244">
        <v>0</v>
      </c>
      <c r="Q220" s="28"/>
      <c r="R220" s="245">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399">
        <v>42585</v>
      </c>
      <c r="C221" s="35" t="str">
        <f t="shared" si="15"/>
        <v>Mercredi</v>
      </c>
      <c r="D221" s="35">
        <f t="shared" si="18"/>
        <v>216</v>
      </c>
      <c r="E221" s="124">
        <f t="shared" si="16"/>
        <v>32</v>
      </c>
      <c r="F221" s="124">
        <f t="shared" si="17"/>
        <v>8</v>
      </c>
      <c r="G221" s="27"/>
      <c r="H221" s="28" t="str">
        <f>CONCATENATE(SUMIF($E$6:$E221,$E221,$K$6:$K$370)," / ",SUMIF($E$6:$E$370,$E221,$K$6:$K$370))</f>
        <v>0 / 0</v>
      </c>
      <c r="I221" s="28" t="str">
        <f>CONCATENATE(SUMIF($F$6:$F221,$F221,$K$6:$K$370)," / ",SUMIF($F$6:$F$370,$F221,$K$6:$K$370))</f>
        <v>0 / 0</v>
      </c>
      <c r="J221" s="28" t="str">
        <f>CONCATENATE(SUM($K$6:$K221)," / ",SUM($K$6:$K$370))</f>
        <v>651,895 / 651,895</v>
      </c>
      <c r="K221" s="244">
        <v>0</v>
      </c>
      <c r="L221" s="28"/>
      <c r="M221" s="28" t="str">
        <f>CONCATENATE(SUMIF($E$6:$E221,$E221,$P$6:$P$370)," / ",SUMIF($E$6:$E$370,$E221,$P$6:$P$370))</f>
        <v>0 / 0</v>
      </c>
      <c r="N221" s="28" t="str">
        <f ca="1">CONCATENATE(SUMIF($F$6:$F221,$F221,$P221)," / ",SUMIF($F$6:$F$370,$F221,$P$6:$P$370))</f>
        <v>0 / 0</v>
      </c>
      <c r="O221" s="28" t="str">
        <f>CONCATENATE(SUM($P$6:$P221)," / ",SUM($P$6:$P585))</f>
        <v>528 / 528</v>
      </c>
      <c r="P221" s="244">
        <v>0</v>
      </c>
      <c r="Q221" s="28"/>
      <c r="R221" s="245">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399">
        <v>42586</v>
      </c>
      <c r="C222" s="35" t="str">
        <f t="shared" si="15"/>
        <v>Jeudi</v>
      </c>
      <c r="D222" s="35">
        <f t="shared" si="18"/>
        <v>217</v>
      </c>
      <c r="E222" s="124">
        <f t="shared" si="16"/>
        <v>32</v>
      </c>
      <c r="F222" s="124">
        <f t="shared" si="17"/>
        <v>8</v>
      </c>
      <c r="G222" s="27"/>
      <c r="H222" s="28" t="str">
        <f>CONCATENATE(SUMIF($E$6:$E222,$E222,$K$6:$K$370)," / ",SUMIF($E$6:$E$370,$E222,$K$6:$K$370))</f>
        <v>0 / 0</v>
      </c>
      <c r="I222" s="28" t="str">
        <f>CONCATENATE(SUMIF($F$6:$F222,$F222,$K$6:$K$370)," / ",SUMIF($F$6:$F$370,$F222,$K$6:$K$370))</f>
        <v>0 / 0</v>
      </c>
      <c r="J222" s="28" t="str">
        <f>CONCATENATE(SUM($K$6:$K222)," / ",SUM($K$6:$K$370))</f>
        <v>651,895 / 651,895</v>
      </c>
      <c r="K222" s="244">
        <v>0</v>
      </c>
      <c r="L222" s="28"/>
      <c r="M222" s="28" t="str">
        <f>CONCATENATE(SUMIF($E$6:$E222,$E222,$P$6:$P$370)," / ",SUMIF($E$6:$E$370,$E222,$P$6:$P$370))</f>
        <v>0 / 0</v>
      </c>
      <c r="N222" s="28" t="str">
        <f ca="1">CONCATENATE(SUMIF($F$6:$F222,$F222,$P222)," / ",SUMIF($F$6:$F$370,$F222,$P$6:$P$370))</f>
        <v>0 / 0</v>
      </c>
      <c r="O222" s="28" t="str">
        <f>CONCATENATE(SUM($P$6:$P222)," / ",SUM($P$6:$P586))</f>
        <v>528 / 528</v>
      </c>
      <c r="P222" s="244">
        <v>0</v>
      </c>
      <c r="Q222" s="28"/>
      <c r="R222" s="245">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399">
        <v>42587</v>
      </c>
      <c r="C223" s="35" t="str">
        <f t="shared" si="15"/>
        <v>Vendredi</v>
      </c>
      <c r="D223" s="35">
        <f t="shared" si="18"/>
        <v>218</v>
      </c>
      <c r="E223" s="124">
        <f t="shared" si="16"/>
        <v>32</v>
      </c>
      <c r="F223" s="124">
        <f t="shared" si="17"/>
        <v>8</v>
      </c>
      <c r="G223" s="27"/>
      <c r="H223" s="28" t="str">
        <f>CONCATENATE(SUMIF($E$6:$E223,$E223,$K$6:$K$370)," / ",SUMIF($E$6:$E$370,$E223,$K$6:$K$370))</f>
        <v>0 / 0</v>
      </c>
      <c r="I223" s="28" t="str">
        <f>CONCATENATE(SUMIF($F$6:$F223,$F223,$K$6:$K$370)," / ",SUMIF($F$6:$F$370,$F223,$K$6:$K$370))</f>
        <v>0 / 0</v>
      </c>
      <c r="J223" s="28" t="str">
        <f>CONCATENATE(SUM($K$6:$K223)," / ",SUM($K$6:$K$370))</f>
        <v>651,895 / 651,895</v>
      </c>
      <c r="K223" s="244">
        <v>0</v>
      </c>
      <c r="L223" s="28"/>
      <c r="M223" s="28" t="str">
        <f>CONCATENATE(SUMIF($E$6:$E223,$E223,$P$6:$P$370)," / ",SUMIF($E$6:$E$370,$E223,$P$6:$P$370))</f>
        <v>0 / 0</v>
      </c>
      <c r="N223" s="28" t="str">
        <f ca="1">CONCATENATE(SUMIF($F$6:$F223,$F223,$P223)," / ",SUMIF($F$6:$F$370,$F223,$P$6:$P$370))</f>
        <v>0 / 0</v>
      </c>
      <c r="O223" s="28" t="str">
        <f>CONCATENATE(SUM($P$6:$P223)," / ",SUM($P$6:$P587))</f>
        <v>528 / 528</v>
      </c>
      <c r="P223" s="244">
        <v>0</v>
      </c>
      <c r="Q223" s="28"/>
      <c r="R223" s="245">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399">
        <v>42588</v>
      </c>
      <c r="C224" s="35" t="str">
        <f t="shared" si="15"/>
        <v>Samedi</v>
      </c>
      <c r="D224" s="35">
        <f t="shared" si="18"/>
        <v>219</v>
      </c>
      <c r="E224" s="124">
        <f t="shared" si="16"/>
        <v>32</v>
      </c>
      <c r="F224" s="124">
        <f t="shared" si="17"/>
        <v>8</v>
      </c>
      <c r="G224" s="27"/>
      <c r="H224" s="28" t="str">
        <f>CONCATENATE(SUMIF($E$6:$E224,$E224,$K$6:$K$370)," / ",SUMIF($E$6:$E$370,$E224,$K$6:$K$370))</f>
        <v>0 / 0</v>
      </c>
      <c r="I224" s="28" t="str">
        <f>CONCATENATE(SUMIF($F$6:$F224,$F224,$K$6:$K$370)," / ",SUMIF($F$6:$F$370,$F224,$K$6:$K$370))</f>
        <v>0 / 0</v>
      </c>
      <c r="J224" s="28" t="str">
        <f>CONCATENATE(SUM($K$6:$K224)," / ",SUM($K$6:$K$370))</f>
        <v>651,895 / 651,895</v>
      </c>
      <c r="K224" s="244">
        <v>0</v>
      </c>
      <c r="L224" s="28"/>
      <c r="M224" s="28" t="str">
        <f>CONCATENATE(SUMIF($E$6:$E224,$E224,$P$6:$P$370)," / ",SUMIF($E$6:$E$370,$E224,$P$6:$P$370))</f>
        <v>0 / 0</v>
      </c>
      <c r="N224" s="28" t="str">
        <f ca="1">CONCATENATE(SUMIF($F$6:$F224,$F224,$P224)," / ",SUMIF($F$6:$F$370,$F224,$P$6:$P$370))</f>
        <v>0 / 0</v>
      </c>
      <c r="O224" s="28" t="str">
        <f>CONCATENATE(SUM($P$6:$P224)," / ",SUM($P$6:$P588))</f>
        <v>528 / 528</v>
      </c>
      <c r="P224" s="244">
        <v>0</v>
      </c>
      <c r="Q224" s="28"/>
      <c r="R224" s="245">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399">
        <v>42589</v>
      </c>
      <c r="C225" s="35" t="str">
        <f t="shared" si="15"/>
        <v>Dimanche</v>
      </c>
      <c r="D225" s="35">
        <f t="shared" si="18"/>
        <v>220</v>
      </c>
      <c r="E225" s="124">
        <f t="shared" si="16"/>
        <v>33</v>
      </c>
      <c r="F225" s="124">
        <f t="shared" si="17"/>
        <v>8</v>
      </c>
      <c r="G225" s="27"/>
      <c r="H225" s="28" t="str">
        <f>CONCATENATE(SUMIF($E$6:$E225,$E225,$K$6:$K$370)," / ",SUMIF($E$6:$E$370,$E225,$K$6:$K$370))</f>
        <v>0 / 0</v>
      </c>
      <c r="I225" s="28" t="str">
        <f>CONCATENATE(SUMIF($F$6:$F225,$F225,$K$6:$K$370)," / ",SUMIF($F$6:$F$370,$F225,$K$6:$K$370))</f>
        <v>0 / 0</v>
      </c>
      <c r="J225" s="28" t="str">
        <f>CONCATENATE(SUM($K$6:$K225)," / ",SUM($K$6:$K$370))</f>
        <v>651,895 / 651,895</v>
      </c>
      <c r="K225" s="244">
        <v>0</v>
      </c>
      <c r="L225" s="28"/>
      <c r="M225" s="28" t="str">
        <f>CONCATENATE(SUMIF($E$6:$E225,$E225,$P$6:$P$370)," / ",SUMIF($E$6:$E$370,$E225,$P$6:$P$370))</f>
        <v>0 / 0</v>
      </c>
      <c r="N225" s="28" t="str">
        <f ca="1">CONCATENATE(SUMIF($F$6:$F225,$F225,$P225)," / ",SUMIF($F$6:$F$370,$F225,$P$6:$P$370))</f>
        <v>0 / 0</v>
      </c>
      <c r="O225" s="28" t="str">
        <f>CONCATENATE(SUM($P$6:$P225)," / ",SUM($P$6:$P589))</f>
        <v>528 / 528</v>
      </c>
      <c r="P225" s="244">
        <v>0</v>
      </c>
      <c r="Q225" s="28"/>
      <c r="R225" s="245">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399">
        <v>42590</v>
      </c>
      <c r="C226" s="35" t="str">
        <f t="shared" si="15"/>
        <v>Lundi</v>
      </c>
      <c r="D226" s="35">
        <f t="shared" si="18"/>
        <v>221</v>
      </c>
      <c r="E226" s="124">
        <f t="shared" si="16"/>
        <v>33</v>
      </c>
      <c r="F226" s="124">
        <f t="shared" si="17"/>
        <v>8</v>
      </c>
      <c r="G226" s="27"/>
      <c r="H226" s="28" t="str">
        <f>CONCATENATE(SUMIF($E$6:$E226,$E226,$K$6:$K$370)," / ",SUMIF($E$6:$E$370,$E226,$K$6:$K$370))</f>
        <v>0 / 0</v>
      </c>
      <c r="I226" s="28" t="str">
        <f>CONCATENATE(SUMIF($F$6:$F226,$F226,$K$6:$K$370)," / ",SUMIF($F$6:$F$370,$F226,$K$6:$K$370))</f>
        <v>0 / 0</v>
      </c>
      <c r="J226" s="28" t="str">
        <f>CONCATENATE(SUM($K$6:$K226)," / ",SUM($K$6:$K$370))</f>
        <v>651,895 / 651,895</v>
      </c>
      <c r="K226" s="244">
        <v>0</v>
      </c>
      <c r="L226" s="28"/>
      <c r="M226" s="28" t="str">
        <f>CONCATENATE(SUMIF($E$6:$E226,$E226,$P$6:$P$370)," / ",SUMIF($E$6:$E$370,$E226,$P$6:$P$370))</f>
        <v>0 / 0</v>
      </c>
      <c r="N226" s="28" t="str">
        <f ca="1">CONCATENATE(SUMIF($F$6:$F226,$F226,$P226)," / ",SUMIF($F$6:$F$370,$F226,$P$6:$P$370))</f>
        <v>0 / 0</v>
      </c>
      <c r="O226" s="28" t="str">
        <f>CONCATENATE(SUM($P$6:$P226)," / ",SUM($P$6:$P590))</f>
        <v>528 / 528</v>
      </c>
      <c r="P226" s="244">
        <v>0</v>
      </c>
      <c r="Q226" s="28"/>
      <c r="R226" s="245">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399">
        <v>42591</v>
      </c>
      <c r="C227" s="35" t="str">
        <f t="shared" si="15"/>
        <v>Mardi</v>
      </c>
      <c r="D227" s="35">
        <f t="shared" si="18"/>
        <v>222</v>
      </c>
      <c r="E227" s="124">
        <f t="shared" si="16"/>
        <v>33</v>
      </c>
      <c r="F227" s="124">
        <f t="shared" si="17"/>
        <v>8</v>
      </c>
      <c r="G227" s="27"/>
      <c r="H227" s="28" t="str">
        <f>CONCATENATE(SUMIF($E$6:$E227,$E227,$K$6:$K$370)," / ",SUMIF($E$6:$E$370,$E227,$K$6:$K$370))</f>
        <v>0 / 0</v>
      </c>
      <c r="I227" s="28" t="str">
        <f>CONCATENATE(SUMIF($F$6:$F227,$F227,$K$6:$K$370)," / ",SUMIF($F$6:$F$370,$F227,$K$6:$K$370))</f>
        <v>0 / 0</v>
      </c>
      <c r="J227" s="28" t="str">
        <f>CONCATENATE(SUM($K$6:$K227)," / ",SUM($K$6:$K$370))</f>
        <v>651,895 / 651,895</v>
      </c>
      <c r="K227" s="244">
        <v>0</v>
      </c>
      <c r="L227" s="28"/>
      <c r="M227" s="28" t="str">
        <f>CONCATENATE(SUMIF($E$6:$E227,$E227,$P$6:$P$370)," / ",SUMIF($E$6:$E$370,$E227,$P$6:$P$370))</f>
        <v>0 / 0</v>
      </c>
      <c r="N227" s="28" t="str">
        <f ca="1">CONCATENATE(SUMIF($F$6:$F227,$F227,$P227)," / ",SUMIF($F$6:$F$370,$F227,$P$6:$P$370))</f>
        <v>0 / 0</v>
      </c>
      <c r="O227" s="28" t="str">
        <f>CONCATENATE(SUM($P$6:$P227)," / ",SUM($P$6:$P591))</f>
        <v>528 / 528</v>
      </c>
      <c r="P227" s="244">
        <v>0</v>
      </c>
      <c r="Q227" s="28"/>
      <c r="R227" s="245">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399">
        <v>42592</v>
      </c>
      <c r="C228" s="35" t="str">
        <f t="shared" si="15"/>
        <v>Mercredi</v>
      </c>
      <c r="D228" s="35">
        <f t="shared" si="18"/>
        <v>223</v>
      </c>
      <c r="E228" s="124">
        <f t="shared" si="16"/>
        <v>33</v>
      </c>
      <c r="F228" s="124">
        <f t="shared" si="17"/>
        <v>8</v>
      </c>
      <c r="G228" s="27"/>
      <c r="H228" s="28" t="str">
        <f>CONCATENATE(SUMIF($E$6:$E228,$E228,$K$6:$K$370)," / ",SUMIF($E$6:$E$370,$E228,$K$6:$K$370))</f>
        <v>0 / 0</v>
      </c>
      <c r="I228" s="28" t="str">
        <f>CONCATENATE(SUMIF($F$6:$F228,$F228,$K$6:$K$370)," / ",SUMIF($F$6:$F$370,$F228,$K$6:$K$370))</f>
        <v>0 / 0</v>
      </c>
      <c r="J228" s="28" t="str">
        <f>CONCATENATE(SUM($K$6:$K228)," / ",SUM($K$6:$K$370))</f>
        <v>651,895 / 651,895</v>
      </c>
      <c r="K228" s="244">
        <v>0</v>
      </c>
      <c r="L228" s="28"/>
      <c r="M228" s="28" t="str">
        <f>CONCATENATE(SUMIF($E$6:$E228,$E228,$P$6:$P$370)," / ",SUMIF($E$6:$E$370,$E228,$P$6:$P$370))</f>
        <v>0 / 0</v>
      </c>
      <c r="N228" s="28" t="str">
        <f ca="1">CONCATENATE(SUMIF($F$6:$F228,$F228,$P228)," / ",SUMIF($F$6:$F$370,$F228,$P$6:$P$370))</f>
        <v>0 / 0</v>
      </c>
      <c r="O228" s="28" t="str">
        <f>CONCATENATE(SUM($P$6:$P228)," / ",SUM($P$6:$P592))</f>
        <v>528 / 528</v>
      </c>
      <c r="P228" s="244">
        <v>0</v>
      </c>
      <c r="Q228" s="28"/>
      <c r="R228" s="245">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399">
        <v>42593</v>
      </c>
      <c r="C229" s="35" t="str">
        <f t="shared" si="15"/>
        <v>Jeudi</v>
      </c>
      <c r="D229" s="35">
        <f t="shared" si="18"/>
        <v>224</v>
      </c>
      <c r="E229" s="124">
        <f t="shared" si="16"/>
        <v>33</v>
      </c>
      <c r="F229" s="124">
        <f t="shared" si="17"/>
        <v>8</v>
      </c>
      <c r="G229" s="27"/>
      <c r="H229" s="28" t="str">
        <f>CONCATENATE(SUMIF($E$6:$E229,$E229,$K$6:$K$370)," / ",SUMIF($E$6:$E$370,$E229,$K$6:$K$370))</f>
        <v>0 / 0</v>
      </c>
      <c r="I229" s="28" t="str">
        <f>CONCATENATE(SUMIF($F$6:$F229,$F229,$K$6:$K$370)," / ",SUMIF($F$6:$F$370,$F229,$K$6:$K$370))</f>
        <v>0 / 0</v>
      </c>
      <c r="J229" s="28" t="str">
        <f>CONCATENATE(SUM($K$6:$K229)," / ",SUM($K$6:$K$370))</f>
        <v>651,895 / 651,895</v>
      </c>
      <c r="K229" s="244">
        <v>0</v>
      </c>
      <c r="L229" s="28"/>
      <c r="M229" s="28" t="str">
        <f>CONCATENATE(SUMIF($E$6:$E229,$E229,$P$6:$P$370)," / ",SUMIF($E$6:$E$370,$E229,$P$6:$P$370))</f>
        <v>0 / 0</v>
      </c>
      <c r="N229" s="28" t="str">
        <f ca="1">CONCATENATE(SUMIF($F$6:$F229,$F229,$P229)," / ",SUMIF($F$6:$F$370,$F229,$P$6:$P$370))</f>
        <v>0 / 0</v>
      </c>
      <c r="O229" s="28" t="str">
        <f>CONCATENATE(SUM($P$6:$P229)," / ",SUM($P$6:$P593))</f>
        <v>528 / 528</v>
      </c>
      <c r="P229" s="244">
        <v>0</v>
      </c>
      <c r="Q229" s="28"/>
      <c r="R229" s="245">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399">
        <v>42594</v>
      </c>
      <c r="C230" s="35" t="str">
        <f t="shared" si="15"/>
        <v>Vendredi</v>
      </c>
      <c r="D230" s="35">
        <f t="shared" si="18"/>
        <v>225</v>
      </c>
      <c r="E230" s="124">
        <f t="shared" si="16"/>
        <v>33</v>
      </c>
      <c r="F230" s="124">
        <f t="shared" si="17"/>
        <v>8</v>
      </c>
      <c r="G230" s="27"/>
      <c r="H230" s="28" t="str">
        <f>CONCATENATE(SUMIF($E$6:$E230,$E230,$K$6:$K$370)," / ",SUMIF($E$6:$E$370,$E230,$K$6:$K$370))</f>
        <v>0 / 0</v>
      </c>
      <c r="I230" s="28" t="str">
        <f>CONCATENATE(SUMIF($F$6:$F230,$F230,$K$6:$K$370)," / ",SUMIF($F$6:$F$370,$F230,$K$6:$K$370))</f>
        <v>0 / 0</v>
      </c>
      <c r="J230" s="28" t="str">
        <f>CONCATENATE(SUM($K$6:$K230)," / ",SUM($K$6:$K$370))</f>
        <v>651,895 / 651,895</v>
      </c>
      <c r="K230" s="244">
        <v>0</v>
      </c>
      <c r="L230" s="28"/>
      <c r="M230" s="28" t="str">
        <f>CONCATENATE(SUMIF($E$6:$E230,$E230,$P$6:$P$370)," / ",SUMIF($E$6:$E$370,$E230,$P$6:$P$370))</f>
        <v>0 / 0</v>
      </c>
      <c r="N230" s="28" t="str">
        <f ca="1">CONCATENATE(SUMIF($F$6:$F230,$F230,$P230)," / ",SUMIF($F$6:$F$370,$F230,$P$6:$P$370))</f>
        <v>0 / 0</v>
      </c>
      <c r="O230" s="28" t="str">
        <f>CONCATENATE(SUM($P$6:$P230)," / ",SUM($P$6:$P594))</f>
        <v>528 / 528</v>
      </c>
      <c r="P230" s="244">
        <v>0</v>
      </c>
      <c r="Q230" s="28"/>
      <c r="R230" s="245">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399">
        <v>42595</v>
      </c>
      <c r="C231" s="35" t="str">
        <f t="shared" si="15"/>
        <v>Samedi</v>
      </c>
      <c r="D231" s="35">
        <f t="shared" si="18"/>
        <v>226</v>
      </c>
      <c r="E231" s="124">
        <f t="shared" si="16"/>
        <v>33</v>
      </c>
      <c r="F231" s="124">
        <f t="shared" si="17"/>
        <v>8</v>
      </c>
      <c r="G231" s="27"/>
      <c r="H231" s="28" t="str">
        <f>CONCATENATE(SUMIF($E$6:$E231,$E231,$K$6:$K$370)," / ",SUMIF($E$6:$E$370,$E231,$K$6:$K$370))</f>
        <v>0 / 0</v>
      </c>
      <c r="I231" s="28" t="str">
        <f>CONCATENATE(SUMIF($F$6:$F231,$F231,$K$6:$K$370)," / ",SUMIF($F$6:$F$370,$F231,$K$6:$K$370))</f>
        <v>0 / 0</v>
      </c>
      <c r="J231" s="28" t="str">
        <f>CONCATENATE(SUM($K$6:$K231)," / ",SUM($K$6:$K$370))</f>
        <v>651,895 / 651,895</v>
      </c>
      <c r="K231" s="244">
        <v>0</v>
      </c>
      <c r="L231" s="28"/>
      <c r="M231" s="28" t="str">
        <f>CONCATENATE(SUMIF($E$6:$E231,$E231,$P$6:$P$370)," / ",SUMIF($E$6:$E$370,$E231,$P$6:$P$370))</f>
        <v>0 / 0</v>
      </c>
      <c r="N231" s="28" t="str">
        <f ca="1">CONCATENATE(SUMIF($F$6:$F231,$F231,$P231)," / ",SUMIF($F$6:$F$370,$F231,$P$6:$P$370))</f>
        <v>0 / 0</v>
      </c>
      <c r="O231" s="28" t="str">
        <f>CONCATENATE(SUM($P$6:$P231)," / ",SUM($P$6:$P595))</f>
        <v>528 / 528</v>
      </c>
      <c r="P231" s="244">
        <v>0</v>
      </c>
      <c r="Q231" s="28"/>
      <c r="R231" s="245">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399">
        <v>42596</v>
      </c>
      <c r="C232" s="35" t="str">
        <f t="shared" si="15"/>
        <v>Dimanche</v>
      </c>
      <c r="D232" s="35">
        <f t="shared" si="18"/>
        <v>227</v>
      </c>
      <c r="E232" s="124">
        <f t="shared" si="16"/>
        <v>34</v>
      </c>
      <c r="F232" s="124">
        <f t="shared" si="17"/>
        <v>8</v>
      </c>
      <c r="G232" s="27"/>
      <c r="H232" s="28" t="str">
        <f>CONCATENATE(SUMIF($E$6:$E232,$E232,$K$6:$K$370)," / ",SUMIF($E$6:$E$370,$E232,$K$6:$K$370))</f>
        <v>0 / 0</v>
      </c>
      <c r="I232" s="28" t="str">
        <f>CONCATENATE(SUMIF($F$6:$F232,$F232,$K$6:$K$370)," / ",SUMIF($F$6:$F$370,$F232,$K$6:$K$370))</f>
        <v>0 / 0</v>
      </c>
      <c r="J232" s="28" t="str">
        <f>CONCATENATE(SUM($K$6:$K232)," / ",SUM($K$6:$K$370))</f>
        <v>651,895 / 651,895</v>
      </c>
      <c r="K232" s="244">
        <v>0</v>
      </c>
      <c r="L232" s="28"/>
      <c r="M232" s="28" t="str">
        <f>CONCATENATE(SUMIF($E$6:$E232,$E232,$P$6:$P$370)," / ",SUMIF($E$6:$E$370,$E232,$P$6:$P$370))</f>
        <v>0 / 0</v>
      </c>
      <c r="N232" s="28" t="str">
        <f ca="1">CONCATENATE(SUMIF($F$6:$F232,$F232,$P232)," / ",SUMIF($F$6:$F$370,$F232,$P$6:$P$370))</f>
        <v>0 / 0</v>
      </c>
      <c r="O232" s="28" t="str">
        <f>CONCATENATE(SUM($P$6:$P232)," / ",SUM($P$6:$P596))</f>
        <v>528 / 528</v>
      </c>
      <c r="P232" s="244">
        <v>0</v>
      </c>
      <c r="Q232" s="28"/>
      <c r="R232" s="245">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399">
        <v>42597</v>
      </c>
      <c r="C233" s="35" t="str">
        <f t="shared" si="15"/>
        <v>Lundi</v>
      </c>
      <c r="D233" s="35">
        <f t="shared" si="18"/>
        <v>228</v>
      </c>
      <c r="E233" s="124">
        <f t="shared" si="16"/>
        <v>34</v>
      </c>
      <c r="F233" s="124">
        <f t="shared" si="17"/>
        <v>8</v>
      </c>
      <c r="G233" s="27"/>
      <c r="H233" s="28" t="str">
        <f>CONCATENATE(SUMIF($E$6:$E233,$E233,$K$6:$K$370)," / ",SUMIF($E$6:$E$370,$E233,$K$6:$K$370))</f>
        <v>0 / 0</v>
      </c>
      <c r="I233" s="28" t="str">
        <f>CONCATENATE(SUMIF($F$6:$F233,$F233,$K$6:$K$370)," / ",SUMIF($F$6:$F$370,$F233,$K$6:$K$370))</f>
        <v>0 / 0</v>
      </c>
      <c r="J233" s="28" t="str">
        <f>CONCATENATE(SUM($K$6:$K233)," / ",SUM($K$6:$K$370))</f>
        <v>651,895 / 651,895</v>
      </c>
      <c r="K233" s="244">
        <v>0</v>
      </c>
      <c r="L233" s="28"/>
      <c r="M233" s="28" t="str">
        <f>CONCATENATE(SUMIF($E$6:$E233,$E233,$P$6:$P$370)," / ",SUMIF($E$6:$E$370,$E233,$P$6:$P$370))</f>
        <v>0 / 0</v>
      </c>
      <c r="N233" s="28" t="str">
        <f ca="1">CONCATENATE(SUMIF($F$6:$F233,$F233,$P233)," / ",SUMIF($F$6:$F$370,$F233,$P$6:$P$370))</f>
        <v>0 / 0</v>
      </c>
      <c r="O233" s="28" t="str">
        <f>CONCATENATE(SUM($P$6:$P233)," / ",SUM($P$6:$P597))</f>
        <v>528 / 528</v>
      </c>
      <c r="P233" s="244">
        <v>0</v>
      </c>
      <c r="Q233" s="28"/>
      <c r="R233" s="245">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399">
        <v>42598</v>
      </c>
      <c r="C234" s="35" t="str">
        <f t="shared" si="15"/>
        <v>Mardi</v>
      </c>
      <c r="D234" s="35">
        <f t="shared" si="18"/>
        <v>229</v>
      </c>
      <c r="E234" s="124">
        <f t="shared" si="16"/>
        <v>34</v>
      </c>
      <c r="F234" s="124">
        <f t="shared" si="17"/>
        <v>8</v>
      </c>
      <c r="G234" s="27"/>
      <c r="H234" s="28" t="str">
        <f>CONCATENATE(SUMIF($E$6:$E234,$E234,$K$6:$K$370)," / ",SUMIF($E$6:$E$370,$E234,$K$6:$K$370))</f>
        <v>0 / 0</v>
      </c>
      <c r="I234" s="28" t="str">
        <f>CONCATENATE(SUMIF($F$6:$F234,$F234,$K$6:$K$370)," / ",SUMIF($F$6:$F$370,$F234,$K$6:$K$370))</f>
        <v>0 / 0</v>
      </c>
      <c r="J234" s="28" t="str">
        <f>CONCATENATE(SUM($K$6:$K234)," / ",SUM($K$6:$K$370))</f>
        <v>651,895 / 651,895</v>
      </c>
      <c r="K234" s="244">
        <v>0</v>
      </c>
      <c r="L234" s="28"/>
      <c r="M234" s="28" t="str">
        <f>CONCATENATE(SUMIF($E$6:$E234,$E234,$P$6:$P$370)," / ",SUMIF($E$6:$E$370,$E234,$P$6:$P$370))</f>
        <v>0 / 0</v>
      </c>
      <c r="N234" s="28" t="str">
        <f ca="1">CONCATENATE(SUMIF($F$6:$F234,$F234,$P234)," / ",SUMIF($F$6:$F$370,$F234,$P$6:$P$370))</f>
        <v>0 / 0</v>
      </c>
      <c r="O234" s="28" t="str">
        <f>CONCATENATE(SUM($P$6:$P234)," / ",SUM($P$6:$P598))</f>
        <v>528 / 528</v>
      </c>
      <c r="P234" s="244">
        <v>0</v>
      </c>
      <c r="Q234" s="28"/>
      <c r="R234" s="245">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399">
        <v>42599</v>
      </c>
      <c r="C235" s="35" t="str">
        <f t="shared" si="15"/>
        <v>Mercredi</v>
      </c>
      <c r="D235" s="35">
        <f t="shared" si="18"/>
        <v>230</v>
      </c>
      <c r="E235" s="124">
        <f t="shared" si="16"/>
        <v>34</v>
      </c>
      <c r="F235" s="124">
        <f t="shared" si="17"/>
        <v>8</v>
      </c>
      <c r="G235" s="27"/>
      <c r="H235" s="28" t="str">
        <f>CONCATENATE(SUMIF($E$6:$E235,$E235,$K$6:$K$370)," / ",SUMIF($E$6:$E$370,$E235,$K$6:$K$370))</f>
        <v>0 / 0</v>
      </c>
      <c r="I235" s="28" t="str">
        <f>CONCATENATE(SUMIF($F$6:$F235,$F235,$K$6:$K$370)," / ",SUMIF($F$6:$F$370,$F235,$K$6:$K$370))</f>
        <v>0 / 0</v>
      </c>
      <c r="J235" s="28" t="str">
        <f>CONCATENATE(SUM($K$6:$K235)," / ",SUM($K$6:$K$370))</f>
        <v>651,895 / 651,895</v>
      </c>
      <c r="K235" s="244">
        <v>0</v>
      </c>
      <c r="L235" s="28"/>
      <c r="M235" s="28" t="str">
        <f>CONCATENATE(SUMIF($E$6:$E235,$E235,$P$6:$P$370)," / ",SUMIF($E$6:$E$370,$E235,$P$6:$P$370))</f>
        <v>0 / 0</v>
      </c>
      <c r="N235" s="28" t="str">
        <f ca="1">CONCATENATE(SUMIF($F$6:$F235,$F235,$P235)," / ",SUMIF($F$6:$F$370,$F235,$P$6:$P$370))</f>
        <v>0 / 0</v>
      </c>
      <c r="O235" s="28" t="str">
        <f>CONCATENATE(SUM($P$6:$P235)," / ",SUM($P$6:$P599))</f>
        <v>528 / 528</v>
      </c>
      <c r="P235" s="244">
        <v>0</v>
      </c>
      <c r="Q235" s="28"/>
      <c r="R235" s="245">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399">
        <v>42600</v>
      </c>
      <c r="C236" s="35" t="str">
        <f t="shared" si="15"/>
        <v>Jeudi</v>
      </c>
      <c r="D236" s="35">
        <f t="shared" si="18"/>
        <v>231</v>
      </c>
      <c r="E236" s="124">
        <f t="shared" si="16"/>
        <v>34</v>
      </c>
      <c r="F236" s="124">
        <f t="shared" si="17"/>
        <v>8</v>
      </c>
      <c r="G236" s="27"/>
      <c r="H236" s="28" t="str">
        <f>CONCATENATE(SUMIF($E$6:$E236,$E236,$K$6:$K$370)," / ",SUMIF($E$6:$E$370,$E236,$K$6:$K$370))</f>
        <v>0 / 0</v>
      </c>
      <c r="I236" s="28" t="str">
        <f>CONCATENATE(SUMIF($F$6:$F236,$F236,$K$6:$K$370)," / ",SUMIF($F$6:$F$370,$F236,$K$6:$K$370))</f>
        <v>0 / 0</v>
      </c>
      <c r="J236" s="28" t="str">
        <f>CONCATENATE(SUM($K$6:$K236)," / ",SUM($K$6:$K$370))</f>
        <v>651,895 / 651,895</v>
      </c>
      <c r="K236" s="244">
        <v>0</v>
      </c>
      <c r="L236" s="28"/>
      <c r="M236" s="28" t="str">
        <f>CONCATENATE(SUMIF($E$6:$E236,$E236,$P$6:$P$370)," / ",SUMIF($E$6:$E$370,$E236,$P$6:$P$370))</f>
        <v>0 / 0</v>
      </c>
      <c r="N236" s="28" t="str">
        <f ca="1">CONCATENATE(SUMIF($F$6:$F236,$F236,$P236)," / ",SUMIF($F$6:$F$370,$F236,$P$6:$P$370))</f>
        <v>0 / 0</v>
      </c>
      <c r="O236" s="28" t="str">
        <f>CONCATENATE(SUM($P$6:$P236)," / ",SUM($P$6:$P600))</f>
        <v>528 / 528</v>
      </c>
      <c r="P236" s="244">
        <v>0</v>
      </c>
      <c r="Q236" s="28"/>
      <c r="R236" s="245">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399">
        <v>42601</v>
      </c>
      <c r="C237" s="35" t="str">
        <f t="shared" si="15"/>
        <v>Vendredi</v>
      </c>
      <c r="D237" s="35">
        <f t="shared" si="18"/>
        <v>232</v>
      </c>
      <c r="E237" s="124">
        <f t="shared" si="16"/>
        <v>34</v>
      </c>
      <c r="F237" s="124">
        <f t="shared" si="17"/>
        <v>8</v>
      </c>
      <c r="G237" s="27"/>
      <c r="H237" s="28" t="str">
        <f>CONCATENATE(SUMIF($E$6:$E237,$E237,$K$6:$K$370)," / ",SUMIF($E$6:$E$370,$E237,$K$6:$K$370))</f>
        <v>0 / 0</v>
      </c>
      <c r="I237" s="28" t="str">
        <f>CONCATENATE(SUMIF($F$6:$F237,$F237,$K$6:$K$370)," / ",SUMIF($F$6:$F$370,$F237,$K$6:$K$370))</f>
        <v>0 / 0</v>
      </c>
      <c r="J237" s="28" t="str">
        <f>CONCATENATE(SUM($K$6:$K237)," / ",SUM($K$6:$K$370))</f>
        <v>651,895 / 651,895</v>
      </c>
      <c r="K237" s="244">
        <v>0</v>
      </c>
      <c r="L237" s="28"/>
      <c r="M237" s="28" t="str">
        <f>CONCATENATE(SUMIF($E$6:$E237,$E237,$P$6:$P$370)," / ",SUMIF($E$6:$E$370,$E237,$P$6:$P$370))</f>
        <v>0 / 0</v>
      </c>
      <c r="N237" s="28" t="str">
        <f ca="1">CONCATENATE(SUMIF($F$6:$F237,$F237,$P237)," / ",SUMIF($F$6:$F$370,$F237,$P$6:$P$370))</f>
        <v>0 / 0</v>
      </c>
      <c r="O237" s="28" t="str">
        <f>CONCATENATE(SUM($P$6:$P237)," / ",SUM($P$6:$P601))</f>
        <v>528 / 528</v>
      </c>
      <c r="P237" s="244">
        <v>0</v>
      </c>
      <c r="Q237" s="28"/>
      <c r="R237" s="245">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399">
        <v>42602</v>
      </c>
      <c r="C238" s="35" t="str">
        <f t="shared" si="15"/>
        <v>Samedi</v>
      </c>
      <c r="D238" s="35">
        <f t="shared" si="18"/>
        <v>233</v>
      </c>
      <c r="E238" s="124">
        <f t="shared" si="16"/>
        <v>34</v>
      </c>
      <c r="F238" s="124">
        <f t="shared" si="17"/>
        <v>8</v>
      </c>
      <c r="G238" s="27"/>
      <c r="H238" s="28" t="str">
        <f>CONCATENATE(SUMIF($E$6:$E238,$E238,$K$6:$K$370)," / ",SUMIF($E$6:$E$370,$E238,$K$6:$K$370))</f>
        <v>0 / 0</v>
      </c>
      <c r="I238" s="28" t="str">
        <f>CONCATENATE(SUMIF($F$6:$F238,$F238,$K$6:$K$370)," / ",SUMIF($F$6:$F$370,$F238,$K$6:$K$370))</f>
        <v>0 / 0</v>
      </c>
      <c r="J238" s="28" t="str">
        <f>CONCATENATE(SUM($K$6:$K238)," / ",SUM($K$6:$K$370))</f>
        <v>651,895 / 651,895</v>
      </c>
      <c r="K238" s="244">
        <v>0</v>
      </c>
      <c r="L238" s="28"/>
      <c r="M238" s="28" t="str">
        <f>CONCATENATE(SUMIF($E$6:$E238,$E238,$P$6:$P$370)," / ",SUMIF($E$6:$E$370,$E238,$P$6:$P$370))</f>
        <v>0 / 0</v>
      </c>
      <c r="N238" s="28" t="str">
        <f ca="1">CONCATENATE(SUMIF($F$6:$F238,$F238,$P238)," / ",SUMIF($F$6:$F$370,$F238,$P$6:$P$370))</f>
        <v>0 / 0</v>
      </c>
      <c r="O238" s="28" t="str">
        <f>CONCATENATE(SUM($P$6:$P238)," / ",SUM($P$6:$P602))</f>
        <v>528 / 528</v>
      </c>
      <c r="P238" s="244">
        <v>0</v>
      </c>
      <c r="Q238" s="28"/>
      <c r="R238" s="245">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399">
        <v>42603</v>
      </c>
      <c r="C239" s="35" t="str">
        <f t="shared" si="15"/>
        <v>Dimanche</v>
      </c>
      <c r="D239" s="35">
        <f t="shared" si="18"/>
        <v>234</v>
      </c>
      <c r="E239" s="124">
        <f t="shared" si="16"/>
        <v>35</v>
      </c>
      <c r="F239" s="124">
        <f t="shared" si="17"/>
        <v>8</v>
      </c>
      <c r="G239" s="27"/>
      <c r="H239" s="28" t="str">
        <f>CONCATENATE(SUMIF($E$6:$E239,$E239,$K$6:$K$370)," / ",SUMIF($E$6:$E$370,$E239,$K$6:$K$370))</f>
        <v>0 / 0</v>
      </c>
      <c r="I239" s="28" t="str">
        <f>CONCATENATE(SUMIF($F$6:$F239,$F239,$K$6:$K$370)," / ",SUMIF($F$6:$F$370,$F239,$K$6:$K$370))</f>
        <v>0 / 0</v>
      </c>
      <c r="J239" s="28" t="str">
        <f>CONCATENATE(SUM($K$6:$K239)," / ",SUM($K$6:$K$370))</f>
        <v>651,895 / 651,895</v>
      </c>
      <c r="K239" s="244">
        <v>0</v>
      </c>
      <c r="L239" s="28"/>
      <c r="M239" s="28" t="str">
        <f>CONCATENATE(SUMIF($E$6:$E239,$E239,$P$6:$P$370)," / ",SUMIF($E$6:$E$370,$E239,$P$6:$P$370))</f>
        <v>0 / 0</v>
      </c>
      <c r="N239" s="28" t="str">
        <f ca="1">CONCATENATE(SUMIF($F$6:$F239,$F239,$P239)," / ",SUMIF($F$6:$F$370,$F239,$P$6:$P$370))</f>
        <v>0 / 0</v>
      </c>
      <c r="O239" s="28" t="str">
        <f>CONCATENATE(SUM($P$6:$P239)," / ",SUM($P$6:$P603))</f>
        <v>528 / 528</v>
      </c>
      <c r="P239" s="244">
        <v>0</v>
      </c>
      <c r="Q239" s="28"/>
      <c r="R239" s="245">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399">
        <v>42604</v>
      </c>
      <c r="C240" s="35" t="str">
        <f t="shared" si="15"/>
        <v>Lundi</v>
      </c>
      <c r="D240" s="35">
        <f t="shared" si="18"/>
        <v>235</v>
      </c>
      <c r="E240" s="124">
        <f t="shared" si="16"/>
        <v>35</v>
      </c>
      <c r="F240" s="124">
        <f t="shared" si="17"/>
        <v>8</v>
      </c>
      <c r="G240" s="27"/>
      <c r="H240" s="28" t="str">
        <f>CONCATENATE(SUMIF($E$6:$E240,$E240,$K$6:$K$370)," / ",SUMIF($E$6:$E$370,$E240,$K$6:$K$370))</f>
        <v>0 / 0</v>
      </c>
      <c r="I240" s="28" t="str">
        <f>CONCATENATE(SUMIF($F$6:$F240,$F240,$K$6:$K$370)," / ",SUMIF($F$6:$F$370,$F240,$K$6:$K$370))</f>
        <v>0 / 0</v>
      </c>
      <c r="J240" s="28" t="str">
        <f>CONCATENATE(SUM($K$6:$K240)," / ",SUM($K$6:$K$370))</f>
        <v>651,895 / 651,895</v>
      </c>
      <c r="K240" s="244">
        <v>0</v>
      </c>
      <c r="L240" s="28"/>
      <c r="M240" s="28" t="str">
        <f>CONCATENATE(SUMIF($E$6:$E240,$E240,$P$6:$P$370)," / ",SUMIF($E$6:$E$370,$E240,$P$6:$P$370))</f>
        <v>0 / 0</v>
      </c>
      <c r="N240" s="28" t="str">
        <f ca="1">CONCATENATE(SUMIF($F$6:$F240,$F240,$P240)," / ",SUMIF($F$6:$F$370,$F240,$P$6:$P$370))</f>
        <v>0 / 0</v>
      </c>
      <c r="O240" s="28" t="str">
        <f>CONCATENATE(SUM($P$6:$P240)," / ",SUM($P$6:$P604))</f>
        <v>528 / 528</v>
      </c>
      <c r="P240" s="244">
        <v>0</v>
      </c>
      <c r="Q240" s="28"/>
      <c r="R240" s="245">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399">
        <v>42605</v>
      </c>
      <c r="C241" s="35" t="str">
        <f t="shared" si="15"/>
        <v>Mardi</v>
      </c>
      <c r="D241" s="35">
        <f t="shared" si="18"/>
        <v>236</v>
      </c>
      <c r="E241" s="124">
        <f t="shared" si="16"/>
        <v>35</v>
      </c>
      <c r="F241" s="124">
        <f t="shared" si="17"/>
        <v>8</v>
      </c>
      <c r="G241" s="27"/>
      <c r="H241" s="28" t="str">
        <f>CONCATENATE(SUMIF($E$6:$E241,$E241,$K$6:$K$370)," / ",SUMIF($E$6:$E$370,$E241,$K$6:$K$370))</f>
        <v>0 / 0</v>
      </c>
      <c r="I241" s="28" t="str">
        <f>CONCATENATE(SUMIF($F$6:$F241,$F241,$K$6:$K$370)," / ",SUMIF($F$6:$F$370,$F241,$K$6:$K$370))</f>
        <v>0 / 0</v>
      </c>
      <c r="J241" s="28" t="str">
        <f>CONCATENATE(SUM($K$6:$K241)," / ",SUM($K$6:$K$370))</f>
        <v>651,895 / 651,895</v>
      </c>
      <c r="K241" s="244">
        <v>0</v>
      </c>
      <c r="L241" s="28"/>
      <c r="M241" s="28" t="str">
        <f>CONCATENATE(SUMIF($E$6:$E241,$E241,$P$6:$P$370)," / ",SUMIF($E$6:$E$370,$E241,$P$6:$P$370))</f>
        <v>0 / 0</v>
      </c>
      <c r="N241" s="28" t="str">
        <f ca="1">CONCATENATE(SUMIF($F$6:$F241,$F241,$P241)," / ",SUMIF($F$6:$F$370,$F241,$P$6:$P$370))</f>
        <v>0 / 0</v>
      </c>
      <c r="O241" s="28" t="str">
        <f>CONCATENATE(SUM($P$6:$P241)," / ",SUM($P$6:$P605))</f>
        <v>528 / 528</v>
      </c>
      <c r="P241" s="244">
        <v>0</v>
      </c>
      <c r="Q241" s="28"/>
      <c r="R241" s="245">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399">
        <v>42606</v>
      </c>
      <c r="C242" s="35" t="str">
        <f t="shared" si="15"/>
        <v>Mercredi</v>
      </c>
      <c r="D242" s="35">
        <f t="shared" si="18"/>
        <v>237</v>
      </c>
      <c r="E242" s="124">
        <f t="shared" si="16"/>
        <v>35</v>
      </c>
      <c r="F242" s="124">
        <f t="shared" si="17"/>
        <v>8</v>
      </c>
      <c r="G242" s="27"/>
      <c r="H242" s="28" t="str">
        <f>CONCATENATE(SUMIF($E$6:$E242,$E242,$K$6:$K$370)," / ",SUMIF($E$6:$E$370,$E242,$K$6:$K$370))</f>
        <v>0 / 0</v>
      </c>
      <c r="I242" s="28" t="str">
        <f>CONCATENATE(SUMIF($F$6:$F242,$F242,$K$6:$K$370)," / ",SUMIF($F$6:$F$370,$F242,$K$6:$K$370))</f>
        <v>0 / 0</v>
      </c>
      <c r="J242" s="28" t="str">
        <f>CONCATENATE(SUM($K$6:$K242)," / ",SUM($K$6:$K$370))</f>
        <v>651,895 / 651,895</v>
      </c>
      <c r="K242" s="244">
        <v>0</v>
      </c>
      <c r="L242" s="28"/>
      <c r="M242" s="28" t="str">
        <f>CONCATENATE(SUMIF($E$6:$E242,$E242,$P$6:$P$370)," / ",SUMIF($E$6:$E$370,$E242,$P$6:$P$370))</f>
        <v>0 / 0</v>
      </c>
      <c r="N242" s="28" t="str">
        <f ca="1">CONCATENATE(SUMIF($F$6:$F242,$F242,$P242)," / ",SUMIF($F$6:$F$370,$F242,$P$6:$P$370))</f>
        <v>0 / 0</v>
      </c>
      <c r="O242" s="28" t="str">
        <f>CONCATENATE(SUM($P$6:$P242)," / ",SUM($P$6:$P606))</f>
        <v>528 / 528</v>
      </c>
      <c r="P242" s="244">
        <v>0</v>
      </c>
      <c r="Q242" s="28"/>
      <c r="R242" s="245">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399">
        <v>42607</v>
      </c>
      <c r="C243" s="35" t="str">
        <f t="shared" si="15"/>
        <v>Jeudi</v>
      </c>
      <c r="D243" s="35">
        <f t="shared" si="18"/>
        <v>238</v>
      </c>
      <c r="E243" s="124">
        <f t="shared" si="16"/>
        <v>35</v>
      </c>
      <c r="F243" s="124">
        <f t="shared" si="17"/>
        <v>8</v>
      </c>
      <c r="G243" s="27"/>
      <c r="H243" s="28" t="str">
        <f>CONCATENATE(SUMIF($E$6:$E243,$E243,$K$6:$K$370)," / ",SUMIF($E$6:$E$370,$E243,$K$6:$K$370))</f>
        <v>0 / 0</v>
      </c>
      <c r="I243" s="28" t="str">
        <f>CONCATENATE(SUMIF($F$6:$F243,$F243,$K$6:$K$370)," / ",SUMIF($F$6:$F$370,$F243,$K$6:$K$370))</f>
        <v>0 / 0</v>
      </c>
      <c r="J243" s="28" t="str">
        <f>CONCATENATE(SUM($K$6:$K243)," / ",SUM($K$6:$K$370))</f>
        <v>651,895 / 651,895</v>
      </c>
      <c r="K243" s="244">
        <v>0</v>
      </c>
      <c r="L243" s="28"/>
      <c r="M243" s="28" t="str">
        <f>CONCATENATE(SUMIF($E$6:$E243,$E243,$P$6:$P$370)," / ",SUMIF($E$6:$E$370,$E243,$P$6:$P$370))</f>
        <v>0 / 0</v>
      </c>
      <c r="N243" s="28" t="str">
        <f ca="1">CONCATENATE(SUMIF($F$6:$F243,$F243,$P243)," / ",SUMIF($F$6:$F$370,$F243,$P$6:$P$370))</f>
        <v>0 / 0</v>
      </c>
      <c r="O243" s="28" t="str">
        <f>CONCATENATE(SUM($P$6:$P243)," / ",SUM($P$6:$P607))</f>
        <v>528 / 528</v>
      </c>
      <c r="P243" s="244">
        <v>0</v>
      </c>
      <c r="Q243" s="28"/>
      <c r="R243" s="245">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399">
        <v>42608</v>
      </c>
      <c r="C244" s="35" t="str">
        <f t="shared" si="15"/>
        <v>Vendredi</v>
      </c>
      <c r="D244" s="35">
        <f t="shared" si="18"/>
        <v>239</v>
      </c>
      <c r="E244" s="124">
        <f t="shared" si="16"/>
        <v>35</v>
      </c>
      <c r="F244" s="124">
        <f t="shared" si="17"/>
        <v>8</v>
      </c>
      <c r="G244" s="27"/>
      <c r="H244" s="28" t="str">
        <f>CONCATENATE(SUMIF($E$6:$E244,$E244,$K$6:$K$370)," / ",SUMIF($E$6:$E$370,$E244,$K$6:$K$370))</f>
        <v>0 / 0</v>
      </c>
      <c r="I244" s="28" t="str">
        <f>CONCATENATE(SUMIF($F$6:$F244,$F244,$K$6:$K$370)," / ",SUMIF($F$6:$F$370,$F244,$K$6:$K$370))</f>
        <v>0 / 0</v>
      </c>
      <c r="J244" s="28" t="str">
        <f>CONCATENATE(SUM($K$6:$K244)," / ",SUM($K$6:$K$370))</f>
        <v>651,895 / 651,895</v>
      </c>
      <c r="K244" s="244">
        <v>0</v>
      </c>
      <c r="L244" s="28"/>
      <c r="M244" s="28" t="str">
        <f>CONCATENATE(SUMIF($E$6:$E244,$E244,$P$6:$P$370)," / ",SUMIF($E$6:$E$370,$E244,$P$6:$P$370))</f>
        <v>0 / 0</v>
      </c>
      <c r="N244" s="28" t="str">
        <f ca="1">CONCATENATE(SUMIF($F$6:$F244,$F244,$P244)," / ",SUMIF($F$6:$F$370,$F244,$P$6:$P$370))</f>
        <v>0 / 0</v>
      </c>
      <c r="O244" s="28" t="str">
        <f>CONCATENATE(SUM($P$6:$P244)," / ",SUM($P$6:$P608))</f>
        <v>528 / 528</v>
      </c>
      <c r="P244" s="244">
        <v>0</v>
      </c>
      <c r="Q244" s="28"/>
      <c r="R244" s="245">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399">
        <v>42609</v>
      </c>
      <c r="C245" s="35" t="str">
        <f t="shared" si="15"/>
        <v>Samedi</v>
      </c>
      <c r="D245" s="35">
        <f t="shared" si="18"/>
        <v>240</v>
      </c>
      <c r="E245" s="124">
        <f t="shared" si="16"/>
        <v>35</v>
      </c>
      <c r="F245" s="124">
        <f t="shared" si="17"/>
        <v>8</v>
      </c>
      <c r="G245" s="27"/>
      <c r="H245" s="28" t="str">
        <f>CONCATENATE(SUMIF($E$6:$E245,$E245,$K$6:$K$370)," / ",SUMIF($E$6:$E$370,$E245,$K$6:$K$370))</f>
        <v>0 / 0</v>
      </c>
      <c r="I245" s="28" t="str">
        <f>CONCATENATE(SUMIF($F$6:$F245,$F245,$K$6:$K$370)," / ",SUMIF($F$6:$F$370,$F245,$K$6:$K$370))</f>
        <v>0 / 0</v>
      </c>
      <c r="J245" s="28" t="str">
        <f>CONCATENATE(SUM($K$6:$K245)," / ",SUM($K$6:$K$370))</f>
        <v>651,895 / 651,895</v>
      </c>
      <c r="K245" s="244">
        <v>0</v>
      </c>
      <c r="L245" s="28"/>
      <c r="M245" s="28" t="str">
        <f>CONCATENATE(SUMIF($E$6:$E245,$E245,$P$6:$P$370)," / ",SUMIF($E$6:$E$370,$E245,$P$6:$P$370))</f>
        <v>0 / 0</v>
      </c>
      <c r="N245" s="28" t="str">
        <f ca="1">CONCATENATE(SUMIF($F$6:$F245,$F245,$P245)," / ",SUMIF($F$6:$F$370,$F245,$P$6:$P$370))</f>
        <v>0 / 0</v>
      </c>
      <c r="O245" s="28" t="str">
        <f>CONCATENATE(SUM($P$6:$P245)," / ",SUM($P$6:$P609))</f>
        <v>528 / 528</v>
      </c>
      <c r="P245" s="244">
        <v>0</v>
      </c>
      <c r="Q245" s="28"/>
      <c r="R245" s="245">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399">
        <v>42610</v>
      </c>
      <c r="C246" s="35" t="str">
        <f t="shared" si="15"/>
        <v>Dimanche</v>
      </c>
      <c r="D246" s="35">
        <f t="shared" si="18"/>
        <v>241</v>
      </c>
      <c r="E246" s="124">
        <f t="shared" si="16"/>
        <v>36</v>
      </c>
      <c r="F246" s="124">
        <f t="shared" si="17"/>
        <v>8</v>
      </c>
      <c r="G246" s="27"/>
      <c r="H246" s="28" t="str">
        <f>CONCATENATE(SUMIF($E$6:$E246,$E246,$K$6:$K$370)," / ",SUMIF($E$6:$E$370,$E246,$K$6:$K$370))</f>
        <v>0 / 0</v>
      </c>
      <c r="I246" s="28" t="str">
        <f>CONCATENATE(SUMIF($F$6:$F246,$F246,$K$6:$K$370)," / ",SUMIF($F$6:$F$370,$F246,$K$6:$K$370))</f>
        <v>0 / 0</v>
      </c>
      <c r="J246" s="28" t="str">
        <f>CONCATENATE(SUM($K$6:$K246)," / ",SUM($K$6:$K$370))</f>
        <v>651,895 / 651,895</v>
      </c>
      <c r="K246" s="244">
        <v>0</v>
      </c>
      <c r="L246" s="28"/>
      <c r="M246" s="28" t="str">
        <f>CONCATENATE(SUMIF($E$6:$E246,$E246,$P$6:$P$370)," / ",SUMIF($E$6:$E$370,$E246,$P$6:$P$370))</f>
        <v>0 / 0</v>
      </c>
      <c r="N246" s="28" t="str">
        <f ca="1">CONCATENATE(SUMIF($F$6:$F246,$F246,$P246)," / ",SUMIF($F$6:$F$370,$F246,$P$6:$P$370))</f>
        <v>0 / 0</v>
      </c>
      <c r="O246" s="28" t="str">
        <f>CONCATENATE(SUM($P$6:$P246)," / ",SUM($P$6:$P610))</f>
        <v>528 / 528</v>
      </c>
      <c r="P246" s="244">
        <v>0</v>
      </c>
      <c r="Q246" s="28"/>
      <c r="R246" s="245">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399">
        <v>42611</v>
      </c>
      <c r="C247" s="35" t="str">
        <f t="shared" si="15"/>
        <v>Lundi</v>
      </c>
      <c r="D247" s="35">
        <f t="shared" si="18"/>
        <v>242</v>
      </c>
      <c r="E247" s="124">
        <f t="shared" si="16"/>
        <v>36</v>
      </c>
      <c r="F247" s="124">
        <f t="shared" si="17"/>
        <v>8</v>
      </c>
      <c r="G247" s="27"/>
      <c r="H247" s="28" t="str">
        <f>CONCATENATE(SUMIF($E$6:$E247,$E247,$K$6:$K$370)," / ",SUMIF($E$6:$E$370,$E247,$K$6:$K$370))</f>
        <v>0 / 0</v>
      </c>
      <c r="I247" s="28" t="str">
        <f>CONCATENATE(SUMIF($F$6:$F247,$F247,$K$6:$K$370)," / ",SUMIF($F$6:$F$370,$F247,$K$6:$K$370))</f>
        <v>0 / 0</v>
      </c>
      <c r="J247" s="28" t="str">
        <f>CONCATENATE(SUM($K$6:$K247)," / ",SUM($K$6:$K$370))</f>
        <v>651,895 / 651,895</v>
      </c>
      <c r="K247" s="244">
        <v>0</v>
      </c>
      <c r="L247" s="28"/>
      <c r="M247" s="28" t="str">
        <f>CONCATENATE(SUMIF($E$6:$E247,$E247,$P$6:$P$370)," / ",SUMIF($E$6:$E$370,$E247,$P$6:$P$370))</f>
        <v>0 / 0</v>
      </c>
      <c r="N247" s="28" t="str">
        <f ca="1">CONCATENATE(SUMIF($F$6:$F247,$F247,$P247)," / ",SUMIF($F$6:$F$370,$F247,$P$6:$P$370))</f>
        <v>0 / 0</v>
      </c>
      <c r="O247" s="28" t="str">
        <f>CONCATENATE(SUM($P$6:$P247)," / ",SUM($P$6:$P611))</f>
        <v>528 / 528</v>
      </c>
      <c r="P247" s="244">
        <v>0</v>
      </c>
      <c r="Q247" s="28"/>
      <c r="R247" s="245">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399">
        <v>42612</v>
      </c>
      <c r="C248" s="35" t="str">
        <f t="shared" si="15"/>
        <v>Mardi</v>
      </c>
      <c r="D248" s="35">
        <f t="shared" si="18"/>
        <v>243</v>
      </c>
      <c r="E248" s="124">
        <f t="shared" si="16"/>
        <v>36</v>
      </c>
      <c r="F248" s="124">
        <f t="shared" si="17"/>
        <v>8</v>
      </c>
      <c r="G248" s="27"/>
      <c r="H248" s="28" t="str">
        <f>CONCATENATE(SUMIF($E$6:$E248,$E248,$K$6:$K$370)," / ",SUMIF($E$6:$E$370,$E248,$K$6:$K$370))</f>
        <v>0 / 0</v>
      </c>
      <c r="I248" s="28" t="str">
        <f>CONCATENATE(SUMIF($F$6:$F248,$F248,$K$6:$K$370)," / ",SUMIF($F$6:$F$370,$F248,$K$6:$K$370))</f>
        <v>0 / 0</v>
      </c>
      <c r="J248" s="28" t="str">
        <f>CONCATENATE(SUM($K$6:$K248)," / ",SUM($K$6:$K$370))</f>
        <v>651,895 / 651,895</v>
      </c>
      <c r="K248" s="244">
        <v>0</v>
      </c>
      <c r="L248" s="28"/>
      <c r="M248" s="28" t="str">
        <f>CONCATENATE(SUMIF($E$6:$E248,$E248,$P$6:$P$370)," / ",SUMIF($E$6:$E$370,$E248,$P$6:$P$370))</f>
        <v>0 / 0</v>
      </c>
      <c r="N248" s="28" t="str">
        <f ca="1">CONCATENATE(SUMIF($F$6:$F248,$F248,$P248)," / ",SUMIF($F$6:$F$370,$F248,$P$6:$P$370))</f>
        <v>0 / 0</v>
      </c>
      <c r="O248" s="28" t="str">
        <f>CONCATENATE(SUM($P$6:$P248)," / ",SUM($P$6:$P612))</f>
        <v>528 / 528</v>
      </c>
      <c r="P248" s="244">
        <v>0</v>
      </c>
      <c r="Q248" s="28"/>
      <c r="R248" s="245">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399">
        <v>42613</v>
      </c>
      <c r="C249" s="35" t="str">
        <f t="shared" si="15"/>
        <v>Mercredi</v>
      </c>
      <c r="D249" s="35">
        <f t="shared" si="18"/>
        <v>244</v>
      </c>
      <c r="E249" s="124">
        <f t="shared" si="16"/>
        <v>36</v>
      </c>
      <c r="F249" s="124">
        <f t="shared" si="17"/>
        <v>8</v>
      </c>
      <c r="G249" s="27"/>
      <c r="H249" s="28" t="str">
        <f>CONCATENATE(SUMIF($E$6:$E249,$E249,$K$6:$K$370)," / ",SUMIF($E$6:$E$370,$E249,$K$6:$K$370))</f>
        <v>0 / 0</v>
      </c>
      <c r="I249" s="28" t="str">
        <f>CONCATENATE(SUMIF($F$6:$F249,$F249,$K$6:$K$370)," / ",SUMIF($F$6:$F$370,$F249,$K$6:$K$370))</f>
        <v>0 / 0</v>
      </c>
      <c r="J249" s="28" t="str">
        <f>CONCATENATE(SUM($K$6:$K249)," / ",SUM($K$6:$K$370))</f>
        <v>651,895 / 651,895</v>
      </c>
      <c r="K249" s="244">
        <v>0</v>
      </c>
      <c r="L249" s="28"/>
      <c r="M249" s="28" t="str">
        <f>CONCATENATE(SUMIF($E$6:$E249,$E249,$P$6:$P$370)," / ",SUMIF($E$6:$E$370,$E249,$P$6:$P$370))</f>
        <v>0 / 0</v>
      </c>
      <c r="N249" s="28" t="str">
        <f ca="1">CONCATENATE(SUMIF($F$6:$F249,$F249,$P249)," / ",SUMIF($F$6:$F$370,$F249,$P$6:$P$370))</f>
        <v>0 / 0</v>
      </c>
      <c r="O249" s="28" t="str">
        <f>CONCATENATE(SUM($P$6:$P249)," / ",SUM($P$6:$P613))</f>
        <v>528 / 528</v>
      </c>
      <c r="P249" s="244">
        <v>0</v>
      </c>
      <c r="Q249" s="28"/>
      <c r="R249" s="245">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399">
        <v>42614</v>
      </c>
      <c r="C250" s="35" t="str">
        <f t="shared" si="15"/>
        <v>Jeudi</v>
      </c>
      <c r="D250" s="35">
        <f t="shared" si="18"/>
        <v>245</v>
      </c>
      <c r="E250" s="124">
        <f t="shared" si="16"/>
        <v>36</v>
      </c>
      <c r="F250" s="124">
        <f t="shared" si="17"/>
        <v>9</v>
      </c>
      <c r="G250" s="27"/>
      <c r="H250" s="28" t="str">
        <f>CONCATENATE(SUMIF($E$6:$E250,$E250,$K$6:$K$370)," / ",SUMIF($E$6:$E$370,$E250,$K$6:$K$370))</f>
        <v>0 / 0</v>
      </c>
      <c r="I250" s="28" t="str">
        <f>CONCATENATE(SUMIF($F$6:$F250,$F250,$K$6:$K$370)," / ",SUMIF($F$6:$F$370,$F250,$K$6:$K$370))</f>
        <v>0 / 0</v>
      </c>
      <c r="J250" s="28" t="str">
        <f>CONCATENATE(SUM($K$6:$K250)," / ",SUM($K$6:$K$370))</f>
        <v>651,895 / 651,895</v>
      </c>
      <c r="K250" s="244">
        <v>0</v>
      </c>
      <c r="L250" s="28"/>
      <c r="M250" s="28" t="str">
        <f>CONCATENATE(SUMIF($E$6:$E250,$E250,$P$6:$P$370)," / ",SUMIF($E$6:$E$370,$E250,$P$6:$P$370))</f>
        <v>0 / 0</v>
      </c>
      <c r="N250" s="28" t="str">
        <f ca="1">CONCATENATE(SUMIF($F$6:$F250,$F250,$P250)," / ",SUMIF($F$6:$F$370,$F250,$P$6:$P$370))</f>
        <v>0 / 0</v>
      </c>
      <c r="O250" s="28" t="str">
        <f>CONCATENATE(SUM($P$6:$P250)," / ",SUM($P$6:$P614))</f>
        <v>528 / 528</v>
      </c>
      <c r="P250" s="244">
        <v>0</v>
      </c>
      <c r="Q250" s="28"/>
      <c r="R250" s="245">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399">
        <v>42615</v>
      </c>
      <c r="C251" s="35" t="str">
        <f t="shared" si="15"/>
        <v>Vendredi</v>
      </c>
      <c r="D251" s="35">
        <f t="shared" si="18"/>
        <v>246</v>
      </c>
      <c r="E251" s="124">
        <f t="shared" si="16"/>
        <v>36</v>
      </c>
      <c r="F251" s="124">
        <f t="shared" si="17"/>
        <v>9</v>
      </c>
      <c r="G251" s="27"/>
      <c r="H251" s="28" t="str">
        <f>CONCATENATE(SUMIF($E$6:$E251,$E251,$K$6:$K$370)," / ",SUMIF($E$6:$E$370,$E251,$K$6:$K$370))</f>
        <v>0 / 0</v>
      </c>
      <c r="I251" s="28" t="str">
        <f>CONCATENATE(SUMIF($F$6:$F251,$F251,$K$6:$K$370)," / ",SUMIF($F$6:$F$370,$F251,$K$6:$K$370))</f>
        <v>0 / 0</v>
      </c>
      <c r="J251" s="28" t="str">
        <f>CONCATENATE(SUM($K$6:$K251)," / ",SUM($K$6:$K$370))</f>
        <v>651,895 / 651,895</v>
      </c>
      <c r="K251" s="244">
        <v>0</v>
      </c>
      <c r="L251" s="28"/>
      <c r="M251" s="28" t="str">
        <f>CONCATENATE(SUMIF($E$6:$E251,$E251,$P$6:$P$370)," / ",SUMIF($E$6:$E$370,$E251,$P$6:$P$370))</f>
        <v>0 / 0</v>
      </c>
      <c r="N251" s="28" t="str">
        <f ca="1">CONCATENATE(SUMIF($F$6:$F251,$F251,$P251)," / ",SUMIF($F$6:$F$370,$F251,$P$6:$P$370))</f>
        <v>0 / 0</v>
      </c>
      <c r="O251" s="28" t="str">
        <f>CONCATENATE(SUM($P$6:$P251)," / ",SUM($P$6:$P615))</f>
        <v>528 / 528</v>
      </c>
      <c r="P251" s="244">
        <v>0</v>
      </c>
      <c r="Q251" s="28"/>
      <c r="R251" s="245">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399">
        <v>42616</v>
      </c>
      <c r="C252" s="35" t="str">
        <f t="shared" si="15"/>
        <v>Samedi</v>
      </c>
      <c r="D252" s="35">
        <f t="shared" si="18"/>
        <v>247</v>
      </c>
      <c r="E252" s="124">
        <f t="shared" si="16"/>
        <v>36</v>
      </c>
      <c r="F252" s="124">
        <f t="shared" si="17"/>
        <v>9</v>
      </c>
      <c r="G252" s="27"/>
      <c r="H252" s="28" t="str">
        <f>CONCATENATE(SUMIF($E$6:$E252,$E252,$K$6:$K$370)," / ",SUMIF($E$6:$E$370,$E252,$K$6:$K$370))</f>
        <v>0 / 0</v>
      </c>
      <c r="I252" s="28" t="str">
        <f>CONCATENATE(SUMIF($F$6:$F252,$F252,$K$6:$K$370)," / ",SUMIF($F$6:$F$370,$F252,$K$6:$K$370))</f>
        <v>0 / 0</v>
      </c>
      <c r="J252" s="28" t="str">
        <f>CONCATENATE(SUM($K$6:$K252)," / ",SUM($K$6:$K$370))</f>
        <v>651,895 / 651,895</v>
      </c>
      <c r="K252" s="244">
        <v>0</v>
      </c>
      <c r="L252" s="28"/>
      <c r="M252" s="28" t="str">
        <f>CONCATENATE(SUMIF($E$6:$E252,$E252,$P$6:$P$370)," / ",SUMIF($E$6:$E$370,$E252,$P$6:$P$370))</f>
        <v>0 / 0</v>
      </c>
      <c r="N252" s="28" t="str">
        <f ca="1">CONCATENATE(SUMIF($F$6:$F252,$F252,$P252)," / ",SUMIF($F$6:$F$370,$F252,$P$6:$P$370))</f>
        <v>0 / 0</v>
      </c>
      <c r="O252" s="28" t="str">
        <f>CONCATENATE(SUM($P$6:$P252)," / ",SUM($P$6:$P616))</f>
        <v>528 / 528</v>
      </c>
      <c r="P252" s="244">
        <v>0</v>
      </c>
      <c r="Q252" s="28"/>
      <c r="R252" s="245">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399">
        <v>42617</v>
      </c>
      <c r="C253" s="35" t="str">
        <f t="shared" si="15"/>
        <v>Dimanche</v>
      </c>
      <c r="D253" s="35">
        <f t="shared" si="18"/>
        <v>248</v>
      </c>
      <c r="E253" s="124">
        <f t="shared" si="16"/>
        <v>37</v>
      </c>
      <c r="F253" s="124">
        <f t="shared" si="17"/>
        <v>9</v>
      </c>
      <c r="G253" s="27"/>
      <c r="H253" s="28" t="str">
        <f>CONCATENATE(SUMIF($E$6:$E253,$E253,$K$6:$K$370)," / ",SUMIF($E$6:$E$370,$E253,$K$6:$K$370))</f>
        <v>0 / 0</v>
      </c>
      <c r="I253" s="28" t="str">
        <f>CONCATENATE(SUMIF($F$6:$F253,$F253,$K$6:$K$370)," / ",SUMIF($F$6:$F$370,$F253,$K$6:$K$370))</f>
        <v>0 / 0</v>
      </c>
      <c r="J253" s="28" t="str">
        <f>CONCATENATE(SUM($K$6:$K253)," / ",SUM($K$6:$K$370))</f>
        <v>651,895 / 651,895</v>
      </c>
      <c r="K253" s="244">
        <v>0</v>
      </c>
      <c r="L253" s="28"/>
      <c r="M253" s="28" t="str">
        <f>CONCATENATE(SUMIF($E$6:$E253,$E253,$P$6:$P$370)," / ",SUMIF($E$6:$E$370,$E253,$P$6:$P$370))</f>
        <v>0 / 0</v>
      </c>
      <c r="N253" s="28" t="str">
        <f ca="1">CONCATENATE(SUMIF($F$6:$F253,$F253,$P253)," / ",SUMIF($F$6:$F$370,$F253,$P$6:$P$370))</f>
        <v>0 / 0</v>
      </c>
      <c r="O253" s="28" t="str">
        <f>CONCATENATE(SUM($P$6:$P253)," / ",SUM($P$6:$P617))</f>
        <v>528 / 528</v>
      </c>
      <c r="P253" s="244">
        <v>0</v>
      </c>
      <c r="Q253" s="28"/>
      <c r="R253" s="245">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399">
        <v>42618</v>
      </c>
      <c r="C254" s="35" t="str">
        <f t="shared" si="15"/>
        <v>Lundi</v>
      </c>
      <c r="D254" s="35">
        <f t="shared" si="18"/>
        <v>249</v>
      </c>
      <c r="E254" s="124">
        <f t="shared" si="16"/>
        <v>37</v>
      </c>
      <c r="F254" s="124">
        <f t="shared" si="17"/>
        <v>9</v>
      </c>
      <c r="G254" s="27"/>
      <c r="H254" s="28" t="str">
        <f>CONCATENATE(SUMIF($E$6:$E254,$E254,$K$6:$K$370)," / ",SUMIF($E$6:$E$370,$E254,$K$6:$K$370))</f>
        <v>0 / 0</v>
      </c>
      <c r="I254" s="28" t="str">
        <f>CONCATENATE(SUMIF($F$6:$F254,$F254,$K$6:$K$370)," / ",SUMIF($F$6:$F$370,$F254,$K$6:$K$370))</f>
        <v>0 / 0</v>
      </c>
      <c r="J254" s="28" t="str">
        <f>CONCATENATE(SUM($K$6:$K254)," / ",SUM($K$6:$K$370))</f>
        <v>651,895 / 651,895</v>
      </c>
      <c r="K254" s="244">
        <v>0</v>
      </c>
      <c r="L254" s="28"/>
      <c r="M254" s="28" t="str">
        <f>CONCATENATE(SUMIF($E$6:$E254,$E254,$P$6:$P$370)," / ",SUMIF($E$6:$E$370,$E254,$P$6:$P$370))</f>
        <v>0 / 0</v>
      </c>
      <c r="N254" s="28" t="str">
        <f ca="1">CONCATENATE(SUMIF($F$6:$F254,$F254,$P254)," / ",SUMIF($F$6:$F$370,$F254,$P$6:$P$370))</f>
        <v>0 / 0</v>
      </c>
      <c r="O254" s="28" t="str">
        <f>CONCATENATE(SUM($P$6:$P254)," / ",SUM($P$6:$P618))</f>
        <v>528 / 528</v>
      </c>
      <c r="P254" s="244">
        <v>0</v>
      </c>
      <c r="Q254" s="28"/>
      <c r="R254" s="245">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399">
        <v>42619</v>
      </c>
      <c r="C255" s="35" t="str">
        <f t="shared" si="15"/>
        <v>Mardi</v>
      </c>
      <c r="D255" s="35">
        <f t="shared" si="18"/>
        <v>250</v>
      </c>
      <c r="E255" s="124">
        <f t="shared" si="16"/>
        <v>37</v>
      </c>
      <c r="F255" s="124">
        <f t="shared" si="17"/>
        <v>9</v>
      </c>
      <c r="G255" s="27"/>
      <c r="H255" s="28" t="str">
        <f>CONCATENATE(SUMIF($E$6:$E255,$E255,$K$6:$K$370)," / ",SUMIF($E$6:$E$370,$E255,$K$6:$K$370))</f>
        <v>0 / 0</v>
      </c>
      <c r="I255" s="28" t="str">
        <f>CONCATENATE(SUMIF($F$6:$F255,$F255,$K$6:$K$370)," / ",SUMIF($F$6:$F$370,$F255,$K$6:$K$370))</f>
        <v>0 / 0</v>
      </c>
      <c r="J255" s="28" t="str">
        <f>CONCATENATE(SUM($K$6:$K255)," / ",SUM($K$6:$K$370))</f>
        <v>651,895 / 651,895</v>
      </c>
      <c r="K255" s="244">
        <v>0</v>
      </c>
      <c r="L255" s="28"/>
      <c r="M255" s="28" t="str">
        <f>CONCATENATE(SUMIF($E$6:$E255,$E255,$P$6:$P$370)," / ",SUMIF($E$6:$E$370,$E255,$P$6:$P$370))</f>
        <v>0 / 0</v>
      </c>
      <c r="N255" s="28" t="str">
        <f ca="1">CONCATENATE(SUMIF($F$6:$F255,$F255,$P255)," / ",SUMIF($F$6:$F$370,$F255,$P$6:$P$370))</f>
        <v>0 / 0</v>
      </c>
      <c r="O255" s="28" t="str">
        <f>CONCATENATE(SUM($P$6:$P255)," / ",SUM($P$6:$P619))</f>
        <v>528 / 528</v>
      </c>
      <c r="P255" s="244">
        <v>0</v>
      </c>
      <c r="Q255" s="28"/>
      <c r="R255" s="245">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399">
        <v>42620</v>
      </c>
      <c r="C256" s="35" t="str">
        <f t="shared" si="15"/>
        <v>Mercredi</v>
      </c>
      <c r="D256" s="35">
        <f t="shared" si="18"/>
        <v>251</v>
      </c>
      <c r="E256" s="124">
        <f t="shared" si="16"/>
        <v>37</v>
      </c>
      <c r="F256" s="124">
        <f t="shared" si="17"/>
        <v>9</v>
      </c>
      <c r="G256" s="27"/>
      <c r="H256" s="28" t="str">
        <f>CONCATENATE(SUMIF($E$6:$E256,$E256,$K$6:$K$370)," / ",SUMIF($E$6:$E$370,$E256,$K$6:$K$370))</f>
        <v>0 / 0</v>
      </c>
      <c r="I256" s="28" t="str">
        <f>CONCATENATE(SUMIF($F$6:$F256,$F256,$K$6:$K$370)," / ",SUMIF($F$6:$F$370,$F256,$K$6:$K$370))</f>
        <v>0 / 0</v>
      </c>
      <c r="J256" s="28" t="str">
        <f>CONCATENATE(SUM($K$6:$K256)," / ",SUM($K$6:$K$370))</f>
        <v>651,895 / 651,895</v>
      </c>
      <c r="K256" s="244">
        <v>0</v>
      </c>
      <c r="L256" s="28"/>
      <c r="M256" s="28" t="str">
        <f>CONCATENATE(SUMIF($E$6:$E256,$E256,$P$6:$P$370)," / ",SUMIF($E$6:$E$370,$E256,$P$6:$P$370))</f>
        <v>0 / 0</v>
      </c>
      <c r="N256" s="28" t="str">
        <f ca="1">CONCATENATE(SUMIF($F$6:$F256,$F256,$P256)," / ",SUMIF($F$6:$F$370,$F256,$P$6:$P$370))</f>
        <v>0 / 0</v>
      </c>
      <c r="O256" s="28" t="str">
        <f>CONCATENATE(SUM($P$6:$P256)," / ",SUM($P$6:$P620))</f>
        <v>528 / 528</v>
      </c>
      <c r="P256" s="244">
        <v>0</v>
      </c>
      <c r="Q256" s="28"/>
      <c r="R256" s="245">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399">
        <v>42621</v>
      </c>
      <c r="C257" s="35" t="str">
        <f t="shared" si="15"/>
        <v>Jeudi</v>
      </c>
      <c r="D257" s="35">
        <f t="shared" si="18"/>
        <v>252</v>
      </c>
      <c r="E257" s="124">
        <f t="shared" si="16"/>
        <v>37</v>
      </c>
      <c r="F257" s="124">
        <f t="shared" si="17"/>
        <v>9</v>
      </c>
      <c r="G257" s="27"/>
      <c r="H257" s="28" t="str">
        <f>CONCATENATE(SUMIF($E$6:$E257,$E257,$K$6:$K$370)," / ",SUMIF($E$6:$E$370,$E257,$K$6:$K$370))</f>
        <v>0 / 0</v>
      </c>
      <c r="I257" s="28" t="str">
        <f>CONCATENATE(SUMIF($F$6:$F257,$F257,$K$6:$K$370)," / ",SUMIF($F$6:$F$370,$F257,$K$6:$K$370))</f>
        <v>0 / 0</v>
      </c>
      <c r="J257" s="28" t="str">
        <f>CONCATENATE(SUM($K$6:$K257)," / ",SUM($K$6:$K$370))</f>
        <v>651,895 / 651,895</v>
      </c>
      <c r="K257" s="244">
        <v>0</v>
      </c>
      <c r="L257" s="28"/>
      <c r="M257" s="28" t="str">
        <f>CONCATENATE(SUMIF($E$6:$E257,$E257,$P$6:$P$370)," / ",SUMIF($E$6:$E$370,$E257,$P$6:$P$370))</f>
        <v>0 / 0</v>
      </c>
      <c r="N257" s="28" t="str">
        <f ca="1">CONCATENATE(SUMIF($F$6:$F257,$F257,$P257)," / ",SUMIF($F$6:$F$370,$F257,$P$6:$P$370))</f>
        <v>0 / 0</v>
      </c>
      <c r="O257" s="28" t="str">
        <f>CONCATENATE(SUM($P$6:$P257)," / ",SUM($P$6:$P621))</f>
        <v>528 / 528</v>
      </c>
      <c r="P257" s="244">
        <v>0</v>
      </c>
      <c r="Q257" s="28"/>
      <c r="R257" s="245">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399">
        <v>42622</v>
      </c>
      <c r="C258" s="35" t="str">
        <f t="shared" si="15"/>
        <v>Vendredi</v>
      </c>
      <c r="D258" s="35">
        <f t="shared" si="18"/>
        <v>253</v>
      </c>
      <c r="E258" s="124">
        <f t="shared" si="16"/>
        <v>37</v>
      </c>
      <c r="F258" s="124">
        <f t="shared" si="17"/>
        <v>9</v>
      </c>
      <c r="G258" s="27"/>
      <c r="H258" s="28" t="str">
        <f>CONCATENATE(SUMIF($E$6:$E258,$E258,$K$6:$K$370)," / ",SUMIF($E$6:$E$370,$E258,$K$6:$K$370))</f>
        <v>0 / 0</v>
      </c>
      <c r="I258" s="28" t="str">
        <f>CONCATENATE(SUMIF($F$6:$F258,$F258,$K$6:$K$370)," / ",SUMIF($F$6:$F$370,$F258,$K$6:$K$370))</f>
        <v>0 / 0</v>
      </c>
      <c r="J258" s="28" t="str">
        <f>CONCATENATE(SUM($K$6:$K258)," / ",SUM($K$6:$K$370))</f>
        <v>651,895 / 651,895</v>
      </c>
      <c r="K258" s="244">
        <v>0</v>
      </c>
      <c r="L258" s="28"/>
      <c r="M258" s="28" t="str">
        <f>CONCATENATE(SUMIF($E$6:$E258,$E258,$P$6:$P$370)," / ",SUMIF($E$6:$E$370,$E258,$P$6:$P$370))</f>
        <v>0 / 0</v>
      </c>
      <c r="N258" s="28" t="str">
        <f ca="1">CONCATENATE(SUMIF($F$6:$F258,$F258,$P258)," / ",SUMIF($F$6:$F$370,$F258,$P$6:$P$370))</f>
        <v>0 / 0</v>
      </c>
      <c r="O258" s="28" t="str">
        <f>CONCATENATE(SUM($P$6:$P258)," / ",SUM($P$6:$P622))</f>
        <v>528 / 528</v>
      </c>
      <c r="P258" s="244">
        <v>0</v>
      </c>
      <c r="Q258" s="28"/>
      <c r="R258" s="245">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399">
        <v>42623</v>
      </c>
      <c r="C259" s="35" t="str">
        <f t="shared" si="15"/>
        <v>Samedi</v>
      </c>
      <c r="D259" s="35">
        <f t="shared" si="18"/>
        <v>254</v>
      </c>
      <c r="E259" s="124">
        <f t="shared" si="16"/>
        <v>37</v>
      </c>
      <c r="F259" s="124">
        <f t="shared" si="17"/>
        <v>9</v>
      </c>
      <c r="G259" s="27"/>
      <c r="H259" s="28" t="str">
        <f>CONCATENATE(SUMIF($E$6:$E259,$E259,$K$6:$K$370)," / ",SUMIF($E$6:$E$370,$E259,$K$6:$K$370))</f>
        <v>0 / 0</v>
      </c>
      <c r="I259" s="28" t="str">
        <f>CONCATENATE(SUMIF($F$6:$F259,$F259,$K$6:$K$370)," / ",SUMIF($F$6:$F$370,$F259,$K$6:$K$370))</f>
        <v>0 / 0</v>
      </c>
      <c r="J259" s="28" t="str">
        <f>CONCATENATE(SUM($K$6:$K259)," / ",SUM($K$6:$K$370))</f>
        <v>651,895 / 651,895</v>
      </c>
      <c r="K259" s="244">
        <v>0</v>
      </c>
      <c r="L259" s="28"/>
      <c r="M259" s="28" t="str">
        <f>CONCATENATE(SUMIF($E$6:$E259,$E259,$P$6:$P$370)," / ",SUMIF($E$6:$E$370,$E259,$P$6:$P$370))</f>
        <v>0 / 0</v>
      </c>
      <c r="N259" s="28" t="str">
        <f ca="1">CONCATENATE(SUMIF($F$6:$F259,$F259,$P259)," / ",SUMIF($F$6:$F$370,$F259,$P$6:$P$370))</f>
        <v>0 / 0</v>
      </c>
      <c r="O259" s="28" t="str">
        <f>CONCATENATE(SUM($P$6:$P259)," / ",SUM($P$6:$P623))</f>
        <v>528 / 528</v>
      </c>
      <c r="P259" s="244">
        <v>0</v>
      </c>
      <c r="Q259" s="28"/>
      <c r="R259" s="245">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399">
        <v>42624</v>
      </c>
      <c r="C260" s="35" t="str">
        <f t="shared" si="15"/>
        <v>Dimanche</v>
      </c>
      <c r="D260" s="35">
        <f t="shared" si="18"/>
        <v>255</v>
      </c>
      <c r="E260" s="124">
        <f t="shared" si="16"/>
        <v>38</v>
      </c>
      <c r="F260" s="124">
        <f t="shared" si="17"/>
        <v>9</v>
      </c>
      <c r="G260" s="27"/>
      <c r="H260" s="28" t="str">
        <f>CONCATENATE(SUMIF($E$6:$E260,$E260,$K$6:$K$370)," / ",SUMIF($E$6:$E$370,$E260,$K$6:$K$370))</f>
        <v>0 / 0</v>
      </c>
      <c r="I260" s="28" t="str">
        <f>CONCATENATE(SUMIF($F$6:$F260,$F260,$K$6:$K$370)," / ",SUMIF($F$6:$F$370,$F260,$K$6:$K$370))</f>
        <v>0 / 0</v>
      </c>
      <c r="J260" s="28" t="str">
        <f>CONCATENATE(SUM($K$6:$K260)," / ",SUM($K$6:$K$370))</f>
        <v>651,895 / 651,895</v>
      </c>
      <c r="K260" s="244">
        <v>0</v>
      </c>
      <c r="L260" s="28"/>
      <c r="M260" s="28" t="str">
        <f>CONCATENATE(SUMIF($E$6:$E260,$E260,$P$6:$P$370)," / ",SUMIF($E$6:$E$370,$E260,$P$6:$P$370))</f>
        <v>0 / 0</v>
      </c>
      <c r="N260" s="28" t="str">
        <f ca="1">CONCATENATE(SUMIF($F$6:$F260,$F260,$P260)," / ",SUMIF($F$6:$F$370,$F260,$P$6:$P$370))</f>
        <v>0 / 0</v>
      </c>
      <c r="O260" s="28" t="str">
        <f>CONCATENATE(SUM($P$6:$P260)," / ",SUM($P$6:$P624))</f>
        <v>528 / 528</v>
      </c>
      <c r="P260" s="244">
        <v>0</v>
      </c>
      <c r="Q260" s="28"/>
      <c r="R260" s="245">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399">
        <v>42625</v>
      </c>
      <c r="C261" s="35" t="str">
        <f t="shared" si="15"/>
        <v>Lundi</v>
      </c>
      <c r="D261" s="35">
        <f t="shared" si="18"/>
        <v>256</v>
      </c>
      <c r="E261" s="124">
        <f t="shared" si="16"/>
        <v>38</v>
      </c>
      <c r="F261" s="124">
        <f t="shared" si="17"/>
        <v>9</v>
      </c>
      <c r="G261" s="27"/>
      <c r="H261" s="28" t="str">
        <f>CONCATENATE(SUMIF($E$6:$E261,$E261,$K$6:$K$370)," / ",SUMIF($E$6:$E$370,$E261,$K$6:$K$370))</f>
        <v>0 / 0</v>
      </c>
      <c r="I261" s="28" t="str">
        <f>CONCATENATE(SUMIF($F$6:$F261,$F261,$K$6:$K$370)," / ",SUMIF($F$6:$F$370,$F261,$K$6:$K$370))</f>
        <v>0 / 0</v>
      </c>
      <c r="J261" s="28" t="str">
        <f>CONCATENATE(SUM($K$6:$K261)," / ",SUM($K$6:$K$370))</f>
        <v>651,895 / 651,895</v>
      </c>
      <c r="K261" s="244">
        <v>0</v>
      </c>
      <c r="L261" s="28"/>
      <c r="M261" s="28" t="str">
        <f>CONCATENATE(SUMIF($E$6:$E261,$E261,$P$6:$P$370)," / ",SUMIF($E$6:$E$370,$E261,$P$6:$P$370))</f>
        <v>0 / 0</v>
      </c>
      <c r="N261" s="28" t="str">
        <f ca="1">CONCATENATE(SUMIF($F$6:$F261,$F261,$P261)," / ",SUMIF($F$6:$F$370,$F261,$P$6:$P$370))</f>
        <v>0 / 0</v>
      </c>
      <c r="O261" s="28" t="str">
        <f>CONCATENATE(SUM($P$6:$P261)," / ",SUM($P$6:$P625))</f>
        <v>528 / 528</v>
      </c>
      <c r="P261" s="244">
        <v>0</v>
      </c>
      <c r="Q261" s="28"/>
      <c r="R261" s="245">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399">
        <v>42626</v>
      </c>
      <c r="C262" s="35" t="str">
        <f t="shared" si="15"/>
        <v>Mardi</v>
      </c>
      <c r="D262" s="35">
        <f t="shared" si="18"/>
        <v>257</v>
      </c>
      <c r="E262" s="124">
        <f t="shared" si="16"/>
        <v>38</v>
      </c>
      <c r="F262" s="124">
        <f t="shared" si="17"/>
        <v>9</v>
      </c>
      <c r="G262" s="27"/>
      <c r="H262" s="28" t="str">
        <f>CONCATENATE(SUMIF($E$6:$E262,$E262,$K$6:$K$370)," / ",SUMIF($E$6:$E$370,$E262,$K$6:$K$370))</f>
        <v>0 / 0</v>
      </c>
      <c r="I262" s="28" t="str">
        <f>CONCATENATE(SUMIF($F$6:$F262,$F262,$K$6:$K$370)," / ",SUMIF($F$6:$F$370,$F262,$K$6:$K$370))</f>
        <v>0 / 0</v>
      </c>
      <c r="J262" s="28" t="str">
        <f>CONCATENATE(SUM($K$6:$K262)," / ",SUM($K$6:$K$370))</f>
        <v>651,895 / 651,895</v>
      </c>
      <c r="K262" s="244">
        <v>0</v>
      </c>
      <c r="L262" s="28"/>
      <c r="M262" s="28" t="str">
        <f>CONCATENATE(SUMIF($E$6:$E262,$E262,$P$6:$P$370)," / ",SUMIF($E$6:$E$370,$E262,$P$6:$P$370))</f>
        <v>0 / 0</v>
      </c>
      <c r="N262" s="28" t="str">
        <f ca="1">CONCATENATE(SUMIF($F$6:$F262,$F262,$P262)," / ",SUMIF($F$6:$F$370,$F262,$P$6:$P$370))</f>
        <v>0 / 0</v>
      </c>
      <c r="O262" s="28" t="str">
        <f>CONCATENATE(SUM($P$6:$P262)," / ",SUM($P$6:$P626))</f>
        <v>528 / 528</v>
      </c>
      <c r="P262" s="244">
        <v>0</v>
      </c>
      <c r="Q262" s="28"/>
      <c r="R262" s="245">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399">
        <v>42627</v>
      </c>
      <c r="C263" s="35" t="str">
        <f t="shared" ref="C263:C326" si="19">IF(EXACT(WEEKDAY(B263),1),"Dimanche",IF(EXACT(WEEKDAY(B263),2),"Lundi",IF(EXACT(WEEKDAY(B263),3),"Mardi",IF(EXACT(WEEKDAY(B263),4),"Mercredi",IF(EXACT(WEEKDAY(B263),5),"Jeudi",IF(EXACT(WEEKDAY(B263),6),"Vendredi",IF(EXACT(WEEKDAY(B263),7),"Samedi","Erreur de date")))))))</f>
        <v>Mercredi</v>
      </c>
      <c r="D263" s="35">
        <f t="shared" si="18"/>
        <v>258</v>
      </c>
      <c r="E263" s="124">
        <f t="shared" ref="E263:E326" si="20">WEEKNUM($B263)</f>
        <v>38</v>
      </c>
      <c r="F263" s="124">
        <f t="shared" ref="F263:F326" si="21">MONTH(B263)</f>
        <v>9</v>
      </c>
      <c r="G263" s="27"/>
      <c r="H263" s="28" t="str">
        <f>CONCATENATE(SUMIF($E$6:$E263,$E263,$K$6:$K$370)," / ",SUMIF($E$6:$E$370,$E263,$K$6:$K$370))</f>
        <v>0 / 0</v>
      </c>
      <c r="I263" s="28" t="str">
        <f>CONCATENATE(SUMIF($F$6:$F263,$F263,$K$6:$K$370)," / ",SUMIF($F$6:$F$370,$F263,$K$6:$K$370))</f>
        <v>0 / 0</v>
      </c>
      <c r="J263" s="28" t="str">
        <f>CONCATENATE(SUM($K$6:$K263)," / ",SUM($K$6:$K$370))</f>
        <v>651,895 / 651,895</v>
      </c>
      <c r="K263" s="244">
        <v>0</v>
      </c>
      <c r="L263" s="28"/>
      <c r="M263" s="28" t="str">
        <f>CONCATENATE(SUMIF($E$6:$E263,$E263,$P$6:$P$370)," / ",SUMIF($E$6:$E$370,$E263,$P$6:$P$370))</f>
        <v>0 / 0</v>
      </c>
      <c r="N263" s="28" t="str">
        <f ca="1">CONCATENATE(SUMIF($F$6:$F263,$F263,$P263)," / ",SUMIF($F$6:$F$370,$F263,$P$6:$P$370))</f>
        <v>0 / 0</v>
      </c>
      <c r="O263" s="28" t="str">
        <f>CONCATENATE(SUM($P$6:$P263)," / ",SUM($P$6:$P627))</f>
        <v>528 / 528</v>
      </c>
      <c r="P263" s="244">
        <v>0</v>
      </c>
      <c r="Q263" s="28"/>
      <c r="R263" s="245">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399">
        <v>42628</v>
      </c>
      <c r="C264" s="35" t="str">
        <f t="shared" si="19"/>
        <v>Jeudi</v>
      </c>
      <c r="D264" s="35">
        <f t="shared" ref="D264:D327" si="22">D263+1</f>
        <v>259</v>
      </c>
      <c r="E264" s="124">
        <f t="shared" si="20"/>
        <v>38</v>
      </c>
      <c r="F264" s="124">
        <f t="shared" si="21"/>
        <v>9</v>
      </c>
      <c r="G264" s="27"/>
      <c r="H264" s="28" t="str">
        <f>CONCATENATE(SUMIF($E$6:$E264,$E264,$K$6:$K$370)," / ",SUMIF($E$6:$E$370,$E264,$K$6:$K$370))</f>
        <v>0 / 0</v>
      </c>
      <c r="I264" s="28" t="str">
        <f>CONCATENATE(SUMIF($F$6:$F264,$F264,$K$6:$K$370)," / ",SUMIF($F$6:$F$370,$F264,$K$6:$K$370))</f>
        <v>0 / 0</v>
      </c>
      <c r="J264" s="28" t="str">
        <f>CONCATENATE(SUM($K$6:$K264)," / ",SUM($K$6:$K$370))</f>
        <v>651,895 / 651,895</v>
      </c>
      <c r="K264" s="244">
        <v>0</v>
      </c>
      <c r="L264" s="28"/>
      <c r="M264" s="28" t="str">
        <f>CONCATENATE(SUMIF($E$6:$E264,$E264,$P$6:$P$370)," / ",SUMIF($E$6:$E$370,$E264,$P$6:$P$370))</f>
        <v>0 / 0</v>
      </c>
      <c r="N264" s="28" t="str">
        <f ca="1">CONCATENATE(SUMIF($F$6:$F264,$F264,$P264)," / ",SUMIF($F$6:$F$370,$F264,$P$6:$P$370))</f>
        <v>0 / 0</v>
      </c>
      <c r="O264" s="28" t="str">
        <f>CONCATENATE(SUM($P$6:$P264)," / ",SUM($P$6:$P628))</f>
        <v>528 / 528</v>
      </c>
      <c r="P264" s="244">
        <v>0</v>
      </c>
      <c r="Q264" s="28"/>
      <c r="R264" s="245">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399">
        <v>42629</v>
      </c>
      <c r="C265" s="35" t="str">
        <f t="shared" si="19"/>
        <v>Vendredi</v>
      </c>
      <c r="D265" s="35">
        <f t="shared" si="22"/>
        <v>260</v>
      </c>
      <c r="E265" s="124">
        <f t="shared" si="20"/>
        <v>38</v>
      </c>
      <c r="F265" s="124">
        <f t="shared" si="21"/>
        <v>9</v>
      </c>
      <c r="G265" s="27"/>
      <c r="H265" s="28" t="str">
        <f>CONCATENATE(SUMIF($E$6:$E265,$E265,$K$6:$K$370)," / ",SUMIF($E$6:$E$370,$E265,$K$6:$K$370))</f>
        <v>0 / 0</v>
      </c>
      <c r="I265" s="28" t="str">
        <f>CONCATENATE(SUMIF($F$6:$F265,$F265,$K$6:$K$370)," / ",SUMIF($F$6:$F$370,$F265,$K$6:$K$370))</f>
        <v>0 / 0</v>
      </c>
      <c r="J265" s="28" t="str">
        <f>CONCATENATE(SUM($K$6:$K265)," / ",SUM($K$6:$K$370))</f>
        <v>651,895 / 651,895</v>
      </c>
      <c r="K265" s="244">
        <v>0</v>
      </c>
      <c r="L265" s="28"/>
      <c r="M265" s="28" t="str">
        <f>CONCATENATE(SUMIF($E$6:$E265,$E265,$P$6:$P$370)," / ",SUMIF($E$6:$E$370,$E265,$P$6:$P$370))</f>
        <v>0 / 0</v>
      </c>
      <c r="N265" s="28" t="str">
        <f ca="1">CONCATENATE(SUMIF($F$6:$F265,$F265,$P265)," / ",SUMIF($F$6:$F$370,$F265,$P$6:$P$370))</f>
        <v>0 / 0</v>
      </c>
      <c r="O265" s="28" t="str">
        <f>CONCATENATE(SUM($P$6:$P265)," / ",SUM($P$6:$P629))</f>
        <v>528 / 528</v>
      </c>
      <c r="P265" s="244">
        <v>0</v>
      </c>
      <c r="Q265" s="28"/>
      <c r="R265" s="245">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399">
        <v>42630</v>
      </c>
      <c r="C266" s="35" t="str">
        <f t="shared" si="19"/>
        <v>Samedi</v>
      </c>
      <c r="D266" s="35">
        <f t="shared" si="22"/>
        <v>261</v>
      </c>
      <c r="E266" s="124">
        <f t="shared" si="20"/>
        <v>38</v>
      </c>
      <c r="F266" s="124">
        <f t="shared" si="21"/>
        <v>9</v>
      </c>
      <c r="G266" s="27"/>
      <c r="H266" s="28" t="str">
        <f>CONCATENATE(SUMIF($E$6:$E266,$E266,$K$6:$K$370)," / ",SUMIF($E$6:$E$370,$E266,$K$6:$K$370))</f>
        <v>0 / 0</v>
      </c>
      <c r="I266" s="28" t="str">
        <f>CONCATENATE(SUMIF($F$6:$F266,$F266,$K$6:$K$370)," / ",SUMIF($F$6:$F$370,$F266,$K$6:$K$370))</f>
        <v>0 / 0</v>
      </c>
      <c r="J266" s="28" t="str">
        <f>CONCATENATE(SUM($K$6:$K266)," / ",SUM($K$6:$K$370))</f>
        <v>651,895 / 651,895</v>
      </c>
      <c r="K266" s="244">
        <v>0</v>
      </c>
      <c r="L266" s="28"/>
      <c r="M266" s="28" t="str">
        <f>CONCATENATE(SUMIF($E$6:$E266,$E266,$P$6:$P$370)," / ",SUMIF($E$6:$E$370,$E266,$P$6:$P$370))</f>
        <v>0 / 0</v>
      </c>
      <c r="N266" s="28" t="str">
        <f ca="1">CONCATENATE(SUMIF($F$6:$F266,$F266,$P266)," / ",SUMIF($F$6:$F$370,$F266,$P$6:$P$370))</f>
        <v>0 / 0</v>
      </c>
      <c r="O266" s="28" t="str">
        <f>CONCATENATE(SUM($P$6:$P266)," / ",SUM($P$6:$P630))</f>
        <v>528 / 528</v>
      </c>
      <c r="P266" s="244">
        <v>0</v>
      </c>
      <c r="Q266" s="28"/>
      <c r="R266" s="245">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399">
        <v>42631</v>
      </c>
      <c r="C267" s="35" t="str">
        <f t="shared" si="19"/>
        <v>Dimanche</v>
      </c>
      <c r="D267" s="35">
        <f t="shared" si="22"/>
        <v>262</v>
      </c>
      <c r="E267" s="124">
        <f t="shared" si="20"/>
        <v>39</v>
      </c>
      <c r="F267" s="124">
        <f t="shared" si="21"/>
        <v>9</v>
      </c>
      <c r="G267" s="27"/>
      <c r="H267" s="28" t="str">
        <f>CONCATENATE(SUMIF($E$6:$E267,$E267,$K$6:$K$370)," / ",SUMIF($E$6:$E$370,$E267,$K$6:$K$370))</f>
        <v>0 / 0</v>
      </c>
      <c r="I267" s="28" t="str">
        <f>CONCATENATE(SUMIF($F$6:$F267,$F267,$K$6:$K$370)," / ",SUMIF($F$6:$F$370,$F267,$K$6:$K$370))</f>
        <v>0 / 0</v>
      </c>
      <c r="J267" s="28" t="str">
        <f>CONCATENATE(SUM($K$6:$K267)," / ",SUM($K$6:$K$370))</f>
        <v>651,895 / 651,895</v>
      </c>
      <c r="K267" s="244">
        <v>0</v>
      </c>
      <c r="L267" s="28"/>
      <c r="M267" s="28" t="str">
        <f>CONCATENATE(SUMIF($E$6:$E267,$E267,$P$6:$P$370)," / ",SUMIF($E$6:$E$370,$E267,$P$6:$P$370))</f>
        <v>0 / 0</v>
      </c>
      <c r="N267" s="28" t="str">
        <f ca="1">CONCATENATE(SUMIF($F$6:$F267,$F267,$P267)," / ",SUMIF($F$6:$F$370,$F267,$P$6:$P$370))</f>
        <v>0 / 0</v>
      </c>
      <c r="O267" s="28" t="str">
        <f>CONCATENATE(SUM($P$6:$P267)," / ",SUM($P$6:$P631))</f>
        <v>528 / 528</v>
      </c>
      <c r="P267" s="244">
        <v>0</v>
      </c>
      <c r="Q267" s="28"/>
      <c r="R267" s="245">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399">
        <v>42632</v>
      </c>
      <c r="C268" s="35" t="str">
        <f t="shared" si="19"/>
        <v>Lundi</v>
      </c>
      <c r="D268" s="35">
        <f t="shared" si="22"/>
        <v>263</v>
      </c>
      <c r="E268" s="124">
        <f t="shared" si="20"/>
        <v>39</v>
      </c>
      <c r="F268" s="124">
        <f t="shared" si="21"/>
        <v>9</v>
      </c>
      <c r="G268" s="27"/>
      <c r="H268" s="28" t="str">
        <f>CONCATENATE(SUMIF($E$6:$E268,$E268,$K$6:$K$370)," / ",SUMIF($E$6:$E$370,$E268,$K$6:$K$370))</f>
        <v>0 / 0</v>
      </c>
      <c r="I268" s="28" t="str">
        <f>CONCATENATE(SUMIF($F$6:$F268,$F268,$K$6:$K$370)," / ",SUMIF($F$6:$F$370,$F268,$K$6:$K$370))</f>
        <v>0 / 0</v>
      </c>
      <c r="J268" s="28" t="str">
        <f>CONCATENATE(SUM($K$6:$K268)," / ",SUM($K$6:$K$370))</f>
        <v>651,895 / 651,895</v>
      </c>
      <c r="K268" s="244">
        <v>0</v>
      </c>
      <c r="L268" s="28"/>
      <c r="M268" s="28" t="str">
        <f>CONCATENATE(SUMIF($E$6:$E268,$E268,$P$6:$P$370)," / ",SUMIF($E$6:$E$370,$E268,$P$6:$P$370))</f>
        <v>0 / 0</v>
      </c>
      <c r="N268" s="28" t="str">
        <f ca="1">CONCATENATE(SUMIF($F$6:$F268,$F268,$P268)," / ",SUMIF($F$6:$F$370,$F268,$P$6:$P$370))</f>
        <v>0 / 0</v>
      </c>
      <c r="O268" s="28" t="str">
        <f>CONCATENATE(SUM($P$6:$P268)," / ",SUM($P$6:$P632))</f>
        <v>528 / 528</v>
      </c>
      <c r="P268" s="244">
        <v>0</v>
      </c>
      <c r="Q268" s="28"/>
      <c r="R268" s="245">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399">
        <v>42633</v>
      </c>
      <c r="C269" s="35" t="str">
        <f t="shared" si="19"/>
        <v>Mardi</v>
      </c>
      <c r="D269" s="35">
        <f t="shared" si="22"/>
        <v>264</v>
      </c>
      <c r="E269" s="124">
        <f t="shared" si="20"/>
        <v>39</v>
      </c>
      <c r="F269" s="124">
        <f t="shared" si="21"/>
        <v>9</v>
      </c>
      <c r="G269" s="27"/>
      <c r="H269" s="28" t="str">
        <f>CONCATENATE(SUMIF($E$6:$E269,$E269,$K$6:$K$370)," / ",SUMIF($E$6:$E$370,$E269,$K$6:$K$370))</f>
        <v>0 / 0</v>
      </c>
      <c r="I269" s="28" t="str">
        <f>CONCATENATE(SUMIF($F$6:$F269,$F269,$K$6:$K$370)," / ",SUMIF($F$6:$F$370,$F269,$K$6:$K$370))</f>
        <v>0 / 0</v>
      </c>
      <c r="J269" s="28" t="str">
        <f>CONCATENATE(SUM($K$6:$K269)," / ",SUM($K$6:$K$370))</f>
        <v>651,895 / 651,895</v>
      </c>
      <c r="K269" s="244">
        <v>0</v>
      </c>
      <c r="L269" s="28"/>
      <c r="M269" s="28" t="str">
        <f>CONCATENATE(SUMIF($E$6:$E269,$E269,$P$6:$P$370)," / ",SUMIF($E$6:$E$370,$E269,$P$6:$P$370))</f>
        <v>0 / 0</v>
      </c>
      <c r="N269" s="28" t="str">
        <f ca="1">CONCATENATE(SUMIF($F$6:$F269,$F269,$P269)," / ",SUMIF($F$6:$F$370,$F269,$P$6:$P$370))</f>
        <v>0 / 0</v>
      </c>
      <c r="O269" s="28" t="str">
        <f>CONCATENATE(SUM($P$6:$P269)," / ",SUM($P$6:$P633))</f>
        <v>528 / 528</v>
      </c>
      <c r="P269" s="244">
        <v>0</v>
      </c>
      <c r="Q269" s="28"/>
      <c r="R269" s="245">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399">
        <v>42634</v>
      </c>
      <c r="C270" s="35" t="str">
        <f t="shared" si="19"/>
        <v>Mercredi</v>
      </c>
      <c r="D270" s="35">
        <f t="shared" si="22"/>
        <v>265</v>
      </c>
      <c r="E270" s="124">
        <f t="shared" si="20"/>
        <v>39</v>
      </c>
      <c r="F270" s="124">
        <f t="shared" si="21"/>
        <v>9</v>
      </c>
      <c r="G270" s="27"/>
      <c r="H270" s="28" t="str">
        <f>CONCATENATE(SUMIF($E$6:$E270,$E270,$K$6:$K$370)," / ",SUMIF($E$6:$E$370,$E270,$K$6:$K$370))</f>
        <v>0 / 0</v>
      </c>
      <c r="I270" s="28" t="str">
        <f>CONCATENATE(SUMIF($F$6:$F270,$F270,$K$6:$K$370)," / ",SUMIF($F$6:$F$370,$F270,$K$6:$K$370))</f>
        <v>0 / 0</v>
      </c>
      <c r="J270" s="28" t="str">
        <f>CONCATENATE(SUM($K$6:$K270)," / ",SUM($K$6:$K$370))</f>
        <v>651,895 / 651,895</v>
      </c>
      <c r="K270" s="244">
        <v>0</v>
      </c>
      <c r="L270" s="28"/>
      <c r="M270" s="28" t="str">
        <f>CONCATENATE(SUMIF($E$6:$E270,$E270,$P$6:$P$370)," / ",SUMIF($E$6:$E$370,$E270,$P$6:$P$370))</f>
        <v>0 / 0</v>
      </c>
      <c r="N270" s="28" t="str">
        <f ca="1">CONCATENATE(SUMIF($F$6:$F270,$F270,$P270)," / ",SUMIF($F$6:$F$370,$F270,$P$6:$P$370))</f>
        <v>0 / 0</v>
      </c>
      <c r="O270" s="28" t="str">
        <f>CONCATENATE(SUM($P$6:$P270)," / ",SUM($P$6:$P634))</f>
        <v>528 / 528</v>
      </c>
      <c r="P270" s="244">
        <v>0</v>
      </c>
      <c r="Q270" s="28"/>
      <c r="R270" s="245">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399">
        <v>42635</v>
      </c>
      <c r="C271" s="35" t="str">
        <f t="shared" si="19"/>
        <v>Jeudi</v>
      </c>
      <c r="D271" s="35">
        <f t="shared" si="22"/>
        <v>266</v>
      </c>
      <c r="E271" s="124">
        <f t="shared" si="20"/>
        <v>39</v>
      </c>
      <c r="F271" s="124">
        <f t="shared" si="21"/>
        <v>9</v>
      </c>
      <c r="G271" s="27"/>
      <c r="H271" s="28" t="str">
        <f>CONCATENATE(SUMIF($E$6:$E271,$E271,$K$6:$K$370)," / ",SUMIF($E$6:$E$370,$E271,$K$6:$K$370))</f>
        <v>0 / 0</v>
      </c>
      <c r="I271" s="28" t="str">
        <f>CONCATENATE(SUMIF($F$6:$F271,$F271,$K$6:$K$370)," / ",SUMIF($F$6:$F$370,$F271,$K$6:$K$370))</f>
        <v>0 / 0</v>
      </c>
      <c r="J271" s="28" t="str">
        <f>CONCATENATE(SUM($K$6:$K271)," / ",SUM($K$6:$K$370))</f>
        <v>651,895 / 651,895</v>
      </c>
      <c r="K271" s="244">
        <v>0</v>
      </c>
      <c r="L271" s="28"/>
      <c r="M271" s="28" t="str">
        <f>CONCATENATE(SUMIF($E$6:$E271,$E271,$P$6:$P$370)," / ",SUMIF($E$6:$E$370,$E271,$P$6:$P$370))</f>
        <v>0 / 0</v>
      </c>
      <c r="N271" s="28" t="str">
        <f ca="1">CONCATENATE(SUMIF($F$6:$F271,$F271,$P271)," / ",SUMIF($F$6:$F$370,$F271,$P$6:$P$370))</f>
        <v>0 / 0</v>
      </c>
      <c r="O271" s="28" t="str">
        <f>CONCATENATE(SUM($P$6:$P271)," / ",SUM($P$6:$P635))</f>
        <v>528 / 528</v>
      </c>
      <c r="P271" s="244">
        <v>0</v>
      </c>
      <c r="Q271" s="28"/>
      <c r="R271" s="245">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399">
        <v>42636</v>
      </c>
      <c r="C272" s="35" t="str">
        <f t="shared" si="19"/>
        <v>Vendredi</v>
      </c>
      <c r="D272" s="35">
        <f t="shared" si="22"/>
        <v>267</v>
      </c>
      <c r="E272" s="124">
        <f t="shared" si="20"/>
        <v>39</v>
      </c>
      <c r="F272" s="124">
        <f t="shared" si="21"/>
        <v>9</v>
      </c>
      <c r="G272" s="27"/>
      <c r="H272" s="28" t="str">
        <f>CONCATENATE(SUMIF($E$6:$E272,$E272,$K$6:$K$370)," / ",SUMIF($E$6:$E$370,$E272,$K$6:$K$370))</f>
        <v>0 / 0</v>
      </c>
      <c r="I272" s="28" t="str">
        <f>CONCATENATE(SUMIF($F$6:$F272,$F272,$K$6:$K$370)," / ",SUMIF($F$6:$F$370,$F272,$K$6:$K$370))</f>
        <v>0 / 0</v>
      </c>
      <c r="J272" s="28" t="str">
        <f>CONCATENATE(SUM($K$6:$K272)," / ",SUM($K$6:$K$370))</f>
        <v>651,895 / 651,895</v>
      </c>
      <c r="K272" s="244">
        <v>0</v>
      </c>
      <c r="L272" s="28"/>
      <c r="M272" s="28" t="str">
        <f>CONCATENATE(SUMIF($E$6:$E272,$E272,$P$6:$P$370)," / ",SUMIF($E$6:$E$370,$E272,$P$6:$P$370))</f>
        <v>0 / 0</v>
      </c>
      <c r="N272" s="28" t="str">
        <f ca="1">CONCATENATE(SUMIF($F$6:$F272,$F272,$P272)," / ",SUMIF($F$6:$F$370,$F272,$P$6:$P$370))</f>
        <v>0 / 0</v>
      </c>
      <c r="O272" s="28" t="str">
        <f>CONCATENATE(SUM($P$6:$P272)," / ",SUM($P$6:$P636))</f>
        <v>528 / 528</v>
      </c>
      <c r="P272" s="244">
        <v>0</v>
      </c>
      <c r="Q272" s="28"/>
      <c r="R272" s="245">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399">
        <v>42637</v>
      </c>
      <c r="C273" s="35" t="str">
        <f t="shared" si="19"/>
        <v>Samedi</v>
      </c>
      <c r="D273" s="35">
        <f t="shared" si="22"/>
        <v>268</v>
      </c>
      <c r="E273" s="124">
        <f t="shared" si="20"/>
        <v>39</v>
      </c>
      <c r="F273" s="124">
        <f t="shared" si="21"/>
        <v>9</v>
      </c>
      <c r="G273" s="27"/>
      <c r="H273" s="28" t="str">
        <f>CONCATENATE(SUMIF($E$6:$E273,$E273,$K$6:$K$370)," / ",SUMIF($E$6:$E$370,$E273,$K$6:$K$370))</f>
        <v>0 / 0</v>
      </c>
      <c r="I273" s="28" t="str">
        <f>CONCATENATE(SUMIF($F$6:$F273,$F273,$K$6:$K$370)," / ",SUMIF($F$6:$F$370,$F273,$K$6:$K$370))</f>
        <v>0 / 0</v>
      </c>
      <c r="J273" s="28" t="str">
        <f>CONCATENATE(SUM($K$6:$K273)," / ",SUM($K$6:$K$370))</f>
        <v>651,895 / 651,895</v>
      </c>
      <c r="K273" s="244">
        <v>0</v>
      </c>
      <c r="L273" s="28"/>
      <c r="M273" s="28" t="str">
        <f>CONCATENATE(SUMIF($E$6:$E273,$E273,$P$6:$P$370)," / ",SUMIF($E$6:$E$370,$E273,$P$6:$P$370))</f>
        <v>0 / 0</v>
      </c>
      <c r="N273" s="28" t="str">
        <f ca="1">CONCATENATE(SUMIF($F$6:$F273,$F273,$P273)," / ",SUMIF($F$6:$F$370,$F273,$P$6:$P$370))</f>
        <v>0 / 0</v>
      </c>
      <c r="O273" s="28" t="str">
        <f>CONCATENATE(SUM($P$6:$P273)," / ",SUM($P$6:$P637))</f>
        <v>528 / 528</v>
      </c>
      <c r="P273" s="244">
        <v>0</v>
      </c>
      <c r="Q273" s="28"/>
      <c r="R273" s="245">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399">
        <v>42638</v>
      </c>
      <c r="C274" s="35" t="str">
        <f t="shared" si="19"/>
        <v>Dimanche</v>
      </c>
      <c r="D274" s="35">
        <f t="shared" si="22"/>
        <v>269</v>
      </c>
      <c r="E274" s="124">
        <f t="shared" si="20"/>
        <v>40</v>
      </c>
      <c r="F274" s="124">
        <f t="shared" si="21"/>
        <v>9</v>
      </c>
      <c r="G274" s="27"/>
      <c r="H274" s="28" t="str">
        <f>CONCATENATE(SUMIF($E$6:$E274,$E274,$K$6:$K$370)," / ",SUMIF($E$6:$E$370,$E274,$K$6:$K$370))</f>
        <v>0 / 0</v>
      </c>
      <c r="I274" s="28" t="str">
        <f>CONCATENATE(SUMIF($F$6:$F274,$F274,$K$6:$K$370)," / ",SUMIF($F$6:$F$370,$F274,$K$6:$K$370))</f>
        <v>0 / 0</v>
      </c>
      <c r="J274" s="28" t="str">
        <f>CONCATENATE(SUM($K$6:$K274)," / ",SUM($K$6:$K$370))</f>
        <v>651,895 / 651,895</v>
      </c>
      <c r="K274" s="244">
        <v>0</v>
      </c>
      <c r="L274" s="28"/>
      <c r="M274" s="28" t="str">
        <f>CONCATENATE(SUMIF($E$6:$E274,$E274,$P$6:$P$370)," / ",SUMIF($E$6:$E$370,$E274,$P$6:$P$370))</f>
        <v>0 / 0</v>
      </c>
      <c r="N274" s="28" t="str">
        <f ca="1">CONCATENATE(SUMIF($F$6:$F274,$F274,$P274)," / ",SUMIF($F$6:$F$370,$F274,$P$6:$P$370))</f>
        <v>0 / 0</v>
      </c>
      <c r="O274" s="28" t="str">
        <f>CONCATENATE(SUM($P$6:$P274)," / ",SUM($P$6:$P638))</f>
        <v>528 / 528</v>
      </c>
      <c r="P274" s="244">
        <v>0</v>
      </c>
      <c r="Q274" s="28"/>
      <c r="R274" s="245">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399">
        <v>42639</v>
      </c>
      <c r="C275" s="35" t="str">
        <f t="shared" si="19"/>
        <v>Lundi</v>
      </c>
      <c r="D275" s="35">
        <f t="shared" si="22"/>
        <v>270</v>
      </c>
      <c r="E275" s="124">
        <f t="shared" si="20"/>
        <v>40</v>
      </c>
      <c r="F275" s="124">
        <f t="shared" si="21"/>
        <v>9</v>
      </c>
      <c r="G275" s="27"/>
      <c r="H275" s="28" t="str">
        <f>CONCATENATE(SUMIF($E$6:$E275,$E275,$K$6:$K$370)," / ",SUMIF($E$6:$E$370,$E275,$K$6:$K$370))</f>
        <v>0 / 0</v>
      </c>
      <c r="I275" s="28" t="str">
        <f>CONCATENATE(SUMIF($F$6:$F275,$F275,$K$6:$K$370)," / ",SUMIF($F$6:$F$370,$F275,$K$6:$K$370))</f>
        <v>0 / 0</v>
      </c>
      <c r="J275" s="28" t="str">
        <f>CONCATENATE(SUM($K$6:$K275)," / ",SUM($K$6:$K$370))</f>
        <v>651,895 / 651,895</v>
      </c>
      <c r="K275" s="244">
        <v>0</v>
      </c>
      <c r="L275" s="28"/>
      <c r="M275" s="28" t="str">
        <f>CONCATENATE(SUMIF($E$6:$E275,$E275,$P$6:$P$370)," / ",SUMIF($E$6:$E$370,$E275,$P$6:$P$370))</f>
        <v>0 / 0</v>
      </c>
      <c r="N275" s="28" t="str">
        <f ca="1">CONCATENATE(SUMIF($F$6:$F275,$F275,$P275)," / ",SUMIF($F$6:$F$370,$F275,$P$6:$P$370))</f>
        <v>0 / 0</v>
      </c>
      <c r="O275" s="28" t="str">
        <f>CONCATENATE(SUM($P$6:$P275)," / ",SUM($P$6:$P639))</f>
        <v>528 / 528</v>
      </c>
      <c r="P275" s="244">
        <v>0</v>
      </c>
      <c r="Q275" s="28"/>
      <c r="R275" s="245">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399">
        <v>42640</v>
      </c>
      <c r="C276" s="35" t="str">
        <f t="shared" si="19"/>
        <v>Mardi</v>
      </c>
      <c r="D276" s="35">
        <f t="shared" si="22"/>
        <v>271</v>
      </c>
      <c r="E276" s="124">
        <f t="shared" si="20"/>
        <v>40</v>
      </c>
      <c r="F276" s="124">
        <f t="shared" si="21"/>
        <v>9</v>
      </c>
      <c r="G276" s="27"/>
      <c r="H276" s="28" t="str">
        <f>CONCATENATE(SUMIF($E$6:$E276,$E276,$K$6:$K$370)," / ",SUMIF($E$6:$E$370,$E276,$K$6:$K$370))</f>
        <v>0 / 0</v>
      </c>
      <c r="I276" s="28" t="str">
        <f>CONCATENATE(SUMIF($F$6:$F276,$F276,$K$6:$K$370)," / ",SUMIF($F$6:$F$370,$F276,$K$6:$K$370))</f>
        <v>0 / 0</v>
      </c>
      <c r="J276" s="28" t="str">
        <f>CONCATENATE(SUM($K$6:$K276)," / ",SUM($K$6:$K$370))</f>
        <v>651,895 / 651,895</v>
      </c>
      <c r="K276" s="244">
        <v>0</v>
      </c>
      <c r="L276" s="28"/>
      <c r="M276" s="28" t="str">
        <f>CONCATENATE(SUMIF($E$6:$E276,$E276,$P$6:$P$370)," / ",SUMIF($E$6:$E$370,$E276,$P$6:$P$370))</f>
        <v>0 / 0</v>
      </c>
      <c r="N276" s="28" t="str">
        <f ca="1">CONCATENATE(SUMIF($F$6:$F276,$F276,$P276)," / ",SUMIF($F$6:$F$370,$F276,$P$6:$P$370))</f>
        <v>0 / 0</v>
      </c>
      <c r="O276" s="28" t="str">
        <f>CONCATENATE(SUM($P$6:$P276)," / ",SUM($P$6:$P640))</f>
        <v>528 / 528</v>
      </c>
      <c r="P276" s="244">
        <v>0</v>
      </c>
      <c r="Q276" s="28"/>
      <c r="R276" s="245">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399">
        <v>42641</v>
      </c>
      <c r="C277" s="35" t="str">
        <f t="shared" si="19"/>
        <v>Mercredi</v>
      </c>
      <c r="D277" s="35">
        <f t="shared" si="22"/>
        <v>272</v>
      </c>
      <c r="E277" s="124">
        <f t="shared" si="20"/>
        <v>40</v>
      </c>
      <c r="F277" s="124">
        <f t="shared" si="21"/>
        <v>9</v>
      </c>
      <c r="G277" s="27"/>
      <c r="H277" s="28" t="str">
        <f>CONCATENATE(SUMIF($E$6:$E277,$E277,$K$6:$K$370)," / ",SUMIF($E$6:$E$370,$E277,$K$6:$K$370))</f>
        <v>0 / 0</v>
      </c>
      <c r="I277" s="28" t="str">
        <f>CONCATENATE(SUMIF($F$6:$F277,$F277,$K$6:$K$370)," / ",SUMIF($F$6:$F$370,$F277,$K$6:$K$370))</f>
        <v>0 / 0</v>
      </c>
      <c r="J277" s="28" t="str">
        <f>CONCATENATE(SUM($K$6:$K277)," / ",SUM($K$6:$K$370))</f>
        <v>651,895 / 651,895</v>
      </c>
      <c r="K277" s="244">
        <v>0</v>
      </c>
      <c r="L277" s="28"/>
      <c r="M277" s="28" t="str">
        <f>CONCATENATE(SUMIF($E$6:$E277,$E277,$P$6:$P$370)," / ",SUMIF($E$6:$E$370,$E277,$P$6:$P$370))</f>
        <v>0 / 0</v>
      </c>
      <c r="N277" s="28" t="str">
        <f ca="1">CONCATENATE(SUMIF($F$6:$F277,$F277,$P277)," / ",SUMIF($F$6:$F$370,$F277,$P$6:$P$370))</f>
        <v>0 / 0</v>
      </c>
      <c r="O277" s="28" t="str">
        <f>CONCATENATE(SUM($P$6:$P277)," / ",SUM($P$6:$P641))</f>
        <v>528 / 528</v>
      </c>
      <c r="P277" s="244">
        <v>0</v>
      </c>
      <c r="Q277" s="28"/>
      <c r="R277" s="245">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399">
        <v>42642</v>
      </c>
      <c r="C278" s="35" t="str">
        <f t="shared" si="19"/>
        <v>Jeudi</v>
      </c>
      <c r="D278" s="35">
        <f t="shared" si="22"/>
        <v>273</v>
      </c>
      <c r="E278" s="124">
        <f t="shared" si="20"/>
        <v>40</v>
      </c>
      <c r="F278" s="124">
        <f t="shared" si="21"/>
        <v>9</v>
      </c>
      <c r="G278" s="27"/>
      <c r="H278" s="28" t="str">
        <f>CONCATENATE(SUMIF($E$6:$E278,$E278,$K$6:$K$370)," / ",SUMIF($E$6:$E$370,$E278,$K$6:$K$370))</f>
        <v>0 / 0</v>
      </c>
      <c r="I278" s="28" t="str">
        <f>CONCATENATE(SUMIF($F$6:$F278,$F278,$K$6:$K$370)," / ",SUMIF($F$6:$F$370,$F278,$K$6:$K$370))</f>
        <v>0 / 0</v>
      </c>
      <c r="J278" s="28" t="str">
        <f>CONCATENATE(SUM($K$6:$K278)," / ",SUM($K$6:$K$370))</f>
        <v>651,895 / 651,895</v>
      </c>
      <c r="K278" s="244">
        <v>0</v>
      </c>
      <c r="L278" s="28"/>
      <c r="M278" s="28" t="str">
        <f>CONCATENATE(SUMIF($E$6:$E278,$E278,$P$6:$P$370)," / ",SUMIF($E$6:$E$370,$E278,$P$6:$P$370))</f>
        <v>0 / 0</v>
      </c>
      <c r="N278" s="28" t="str">
        <f ca="1">CONCATENATE(SUMIF($F$6:$F278,$F278,$P278)," / ",SUMIF($F$6:$F$370,$F278,$P$6:$P$370))</f>
        <v>0 / 0</v>
      </c>
      <c r="O278" s="28" t="str">
        <f>CONCATENATE(SUM($P$6:$P278)," / ",SUM($P$6:$P642))</f>
        <v>528 / 528</v>
      </c>
      <c r="P278" s="244">
        <v>0</v>
      </c>
      <c r="Q278" s="28"/>
      <c r="R278" s="245">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399">
        <v>42643</v>
      </c>
      <c r="C279" s="35" t="str">
        <f t="shared" si="19"/>
        <v>Vendredi</v>
      </c>
      <c r="D279" s="35">
        <f t="shared" si="22"/>
        <v>274</v>
      </c>
      <c r="E279" s="124">
        <f t="shared" si="20"/>
        <v>40</v>
      </c>
      <c r="F279" s="124">
        <f t="shared" si="21"/>
        <v>9</v>
      </c>
      <c r="G279" s="27"/>
      <c r="H279" s="28" t="str">
        <f>CONCATENATE(SUMIF($E$6:$E279,$E279,$K$6:$K$370)," / ",SUMIF($E$6:$E$370,$E279,$K$6:$K$370))</f>
        <v>0 / 0</v>
      </c>
      <c r="I279" s="28" t="str">
        <f>CONCATENATE(SUMIF($F$6:$F279,$F279,$K$6:$K$370)," / ",SUMIF($F$6:$F$370,$F279,$K$6:$K$370))</f>
        <v>0 / 0</v>
      </c>
      <c r="J279" s="28" t="str">
        <f>CONCATENATE(SUM($K$6:$K279)," / ",SUM($K$6:$K$370))</f>
        <v>651,895 / 651,895</v>
      </c>
      <c r="K279" s="244">
        <v>0</v>
      </c>
      <c r="L279" s="28"/>
      <c r="M279" s="28" t="str">
        <f>CONCATENATE(SUMIF($E$6:$E279,$E279,$P$6:$P$370)," / ",SUMIF($E$6:$E$370,$E279,$P$6:$P$370))</f>
        <v>0 / 0</v>
      </c>
      <c r="N279" s="28" t="str">
        <f ca="1">CONCATENATE(SUMIF($F$6:$F279,$F279,$P279)," / ",SUMIF($F$6:$F$370,$F279,$P$6:$P$370))</f>
        <v>0 / 0</v>
      </c>
      <c r="O279" s="28" t="str">
        <f>CONCATENATE(SUM($P$6:$P279)," / ",SUM($P$6:$P643))</f>
        <v>528 / 528</v>
      </c>
      <c r="P279" s="244">
        <v>0</v>
      </c>
      <c r="Q279" s="28"/>
      <c r="R279" s="245">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399">
        <v>42644</v>
      </c>
      <c r="C280" s="35" t="str">
        <f t="shared" si="19"/>
        <v>Samedi</v>
      </c>
      <c r="D280" s="35">
        <f t="shared" si="22"/>
        <v>275</v>
      </c>
      <c r="E280" s="124">
        <f t="shared" si="20"/>
        <v>40</v>
      </c>
      <c r="F280" s="124">
        <f t="shared" si="21"/>
        <v>10</v>
      </c>
      <c r="G280" s="27"/>
      <c r="H280" s="28" t="str">
        <f>CONCATENATE(SUMIF($E$6:$E280,$E280,$K$6:$K$370)," / ",SUMIF($E$6:$E$370,$E280,$K$6:$K$370))</f>
        <v>0 / 0</v>
      </c>
      <c r="I280" s="28" t="str">
        <f>CONCATENATE(SUMIF($F$6:$F280,$F280,$K$6:$K$370)," / ",SUMIF($F$6:$F$370,$F280,$K$6:$K$370))</f>
        <v>0 / 0</v>
      </c>
      <c r="J280" s="28" t="str">
        <f>CONCATENATE(SUM($K$6:$K280)," / ",SUM($K$6:$K$370))</f>
        <v>651,895 / 651,895</v>
      </c>
      <c r="K280" s="244">
        <v>0</v>
      </c>
      <c r="L280" s="28"/>
      <c r="M280" s="28" t="str">
        <f>CONCATENATE(SUMIF($E$6:$E280,$E280,$P$6:$P$370)," / ",SUMIF($E$6:$E$370,$E280,$P$6:$P$370))</f>
        <v>0 / 0</v>
      </c>
      <c r="N280" s="28" t="str">
        <f ca="1">CONCATENATE(SUMIF($F$6:$F280,$F280,$P280)," / ",SUMIF($F$6:$F$370,$F280,$P$6:$P$370))</f>
        <v>0 / 0</v>
      </c>
      <c r="O280" s="28" t="str">
        <f>CONCATENATE(SUM($P$6:$P280)," / ",SUM($P$6:$P644))</f>
        <v>528 / 528</v>
      </c>
      <c r="P280" s="244">
        <v>0</v>
      </c>
      <c r="Q280" s="28"/>
      <c r="R280" s="245">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399">
        <v>42645</v>
      </c>
      <c r="C281" s="35" t="str">
        <f t="shared" si="19"/>
        <v>Dimanche</v>
      </c>
      <c r="D281" s="35">
        <f t="shared" si="22"/>
        <v>276</v>
      </c>
      <c r="E281" s="124">
        <f t="shared" si="20"/>
        <v>41</v>
      </c>
      <c r="F281" s="124">
        <f t="shared" si="21"/>
        <v>10</v>
      </c>
      <c r="G281" s="27"/>
      <c r="H281" s="28" t="str">
        <f>CONCATENATE(SUMIF($E$6:$E281,$E281,$K$6:$K$370)," / ",SUMIF($E$6:$E$370,$E281,$K$6:$K$370))</f>
        <v>0 / 0</v>
      </c>
      <c r="I281" s="28" t="str">
        <f>CONCATENATE(SUMIF($F$6:$F281,$F281,$K$6:$K$370)," / ",SUMIF($F$6:$F$370,$F281,$K$6:$K$370))</f>
        <v>0 / 0</v>
      </c>
      <c r="J281" s="28" t="str">
        <f>CONCATENATE(SUM($K$6:$K281)," / ",SUM($K$6:$K$370))</f>
        <v>651,895 / 651,895</v>
      </c>
      <c r="K281" s="244">
        <v>0</v>
      </c>
      <c r="L281" s="28"/>
      <c r="M281" s="28" t="str">
        <f>CONCATENATE(SUMIF($E$6:$E281,$E281,$P$6:$P$370)," / ",SUMIF($E$6:$E$370,$E281,$P$6:$P$370))</f>
        <v>0 / 0</v>
      </c>
      <c r="N281" s="28" t="str">
        <f ca="1">CONCATENATE(SUMIF($F$6:$F281,$F281,$P281)," / ",SUMIF($F$6:$F$370,$F281,$P$6:$P$370))</f>
        <v>0 / 0</v>
      </c>
      <c r="O281" s="28" t="str">
        <f>CONCATENATE(SUM($P$6:$P281)," / ",SUM($P$6:$P645))</f>
        <v>528 / 528</v>
      </c>
      <c r="P281" s="244">
        <v>0</v>
      </c>
      <c r="Q281" s="28"/>
      <c r="R281" s="245">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399">
        <v>42646</v>
      </c>
      <c r="C282" s="35" t="str">
        <f t="shared" si="19"/>
        <v>Lundi</v>
      </c>
      <c r="D282" s="35">
        <f t="shared" si="22"/>
        <v>277</v>
      </c>
      <c r="E282" s="124">
        <f t="shared" si="20"/>
        <v>41</v>
      </c>
      <c r="F282" s="124">
        <f t="shared" si="21"/>
        <v>10</v>
      </c>
      <c r="G282" s="27"/>
      <c r="H282" s="28" t="str">
        <f>CONCATENATE(SUMIF($E$6:$E282,$E282,$K$6:$K$370)," / ",SUMIF($E$6:$E$370,$E282,$K$6:$K$370))</f>
        <v>0 / 0</v>
      </c>
      <c r="I282" s="28" t="str">
        <f>CONCATENATE(SUMIF($F$6:$F282,$F282,$K$6:$K$370)," / ",SUMIF($F$6:$F$370,$F282,$K$6:$K$370))</f>
        <v>0 / 0</v>
      </c>
      <c r="J282" s="28" t="str">
        <f>CONCATENATE(SUM($K$6:$K282)," / ",SUM($K$6:$K$370))</f>
        <v>651,895 / 651,895</v>
      </c>
      <c r="K282" s="244">
        <v>0</v>
      </c>
      <c r="L282" s="28"/>
      <c r="M282" s="28" t="str">
        <f>CONCATENATE(SUMIF($E$6:$E282,$E282,$P$6:$P$370)," / ",SUMIF($E$6:$E$370,$E282,$P$6:$P$370))</f>
        <v>0 / 0</v>
      </c>
      <c r="N282" s="28" t="str">
        <f ca="1">CONCATENATE(SUMIF($F$6:$F282,$F282,$P282)," / ",SUMIF($F$6:$F$370,$F282,$P$6:$P$370))</f>
        <v>0 / 0</v>
      </c>
      <c r="O282" s="28" t="str">
        <f>CONCATENATE(SUM($P$6:$P282)," / ",SUM($P$6:$P646))</f>
        <v>528 / 528</v>
      </c>
      <c r="P282" s="244">
        <v>0</v>
      </c>
      <c r="Q282" s="28"/>
      <c r="R282" s="245">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399">
        <v>42647</v>
      </c>
      <c r="C283" s="35" t="str">
        <f t="shared" si="19"/>
        <v>Mardi</v>
      </c>
      <c r="D283" s="35">
        <f t="shared" si="22"/>
        <v>278</v>
      </c>
      <c r="E283" s="124">
        <f t="shared" si="20"/>
        <v>41</v>
      </c>
      <c r="F283" s="124">
        <f t="shared" si="21"/>
        <v>10</v>
      </c>
      <c r="G283" s="27"/>
      <c r="H283" s="28" t="str">
        <f>CONCATENATE(SUMIF($E$6:$E283,$E283,$K$6:$K$370)," / ",SUMIF($E$6:$E$370,$E283,$K$6:$K$370))</f>
        <v>0 / 0</v>
      </c>
      <c r="I283" s="28" t="str">
        <f>CONCATENATE(SUMIF($F$6:$F283,$F283,$K$6:$K$370)," / ",SUMIF($F$6:$F$370,$F283,$K$6:$K$370))</f>
        <v>0 / 0</v>
      </c>
      <c r="J283" s="28" t="str">
        <f>CONCATENATE(SUM($K$6:$K283)," / ",SUM($K$6:$K$370))</f>
        <v>651,895 / 651,895</v>
      </c>
      <c r="K283" s="244">
        <v>0</v>
      </c>
      <c r="L283" s="28"/>
      <c r="M283" s="28" t="str">
        <f>CONCATENATE(SUMIF($E$6:$E283,$E283,$P$6:$P$370)," / ",SUMIF($E$6:$E$370,$E283,$P$6:$P$370))</f>
        <v>0 / 0</v>
      </c>
      <c r="N283" s="28" t="str">
        <f ca="1">CONCATENATE(SUMIF($F$6:$F283,$F283,$P283)," / ",SUMIF($F$6:$F$370,$F283,$P$6:$P$370))</f>
        <v>0 / 0</v>
      </c>
      <c r="O283" s="28" t="str">
        <f>CONCATENATE(SUM($P$6:$P283)," / ",SUM($P$6:$P647))</f>
        <v>528 / 528</v>
      </c>
      <c r="P283" s="244">
        <v>0</v>
      </c>
      <c r="Q283" s="28"/>
      <c r="R283" s="245">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399">
        <v>42648</v>
      </c>
      <c r="C284" s="35" t="str">
        <f t="shared" si="19"/>
        <v>Mercredi</v>
      </c>
      <c r="D284" s="35">
        <f t="shared" si="22"/>
        <v>279</v>
      </c>
      <c r="E284" s="124">
        <f t="shared" si="20"/>
        <v>41</v>
      </c>
      <c r="F284" s="124">
        <f t="shared" si="21"/>
        <v>10</v>
      </c>
      <c r="G284" s="27"/>
      <c r="H284" s="28" t="str">
        <f>CONCATENATE(SUMIF($E$6:$E284,$E284,$K$6:$K$370)," / ",SUMIF($E$6:$E$370,$E284,$K$6:$K$370))</f>
        <v>0 / 0</v>
      </c>
      <c r="I284" s="28" t="str">
        <f>CONCATENATE(SUMIF($F$6:$F284,$F284,$K$6:$K$370)," / ",SUMIF($F$6:$F$370,$F284,$K$6:$K$370))</f>
        <v>0 / 0</v>
      </c>
      <c r="J284" s="28" t="str">
        <f>CONCATENATE(SUM($K$6:$K284)," / ",SUM($K$6:$K$370))</f>
        <v>651,895 / 651,895</v>
      </c>
      <c r="K284" s="244">
        <v>0</v>
      </c>
      <c r="L284" s="28"/>
      <c r="M284" s="28" t="str">
        <f>CONCATENATE(SUMIF($E$6:$E284,$E284,$P$6:$P$370)," / ",SUMIF($E$6:$E$370,$E284,$P$6:$P$370))</f>
        <v>0 / 0</v>
      </c>
      <c r="N284" s="28" t="str">
        <f ca="1">CONCATENATE(SUMIF($F$6:$F284,$F284,$P284)," / ",SUMIF($F$6:$F$370,$F284,$P$6:$P$370))</f>
        <v>0 / 0</v>
      </c>
      <c r="O284" s="28" t="str">
        <f>CONCATENATE(SUM($P$6:$P284)," / ",SUM($P$6:$P648))</f>
        <v>528 / 528</v>
      </c>
      <c r="P284" s="244">
        <v>0</v>
      </c>
      <c r="Q284" s="28"/>
      <c r="R284" s="245">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399">
        <v>42649</v>
      </c>
      <c r="C285" s="35" t="str">
        <f t="shared" si="19"/>
        <v>Jeudi</v>
      </c>
      <c r="D285" s="35">
        <f t="shared" si="22"/>
        <v>280</v>
      </c>
      <c r="E285" s="124">
        <f t="shared" si="20"/>
        <v>41</v>
      </c>
      <c r="F285" s="124">
        <f t="shared" si="21"/>
        <v>10</v>
      </c>
      <c r="G285" s="27"/>
      <c r="H285" s="28" t="str">
        <f>CONCATENATE(SUMIF($E$6:$E285,$E285,$K$6:$K$370)," / ",SUMIF($E$6:$E$370,$E285,$K$6:$K$370))</f>
        <v>0 / 0</v>
      </c>
      <c r="I285" s="28" t="str">
        <f>CONCATENATE(SUMIF($F$6:$F285,$F285,$K$6:$K$370)," / ",SUMIF($F$6:$F$370,$F285,$K$6:$K$370))</f>
        <v>0 / 0</v>
      </c>
      <c r="J285" s="28" t="str">
        <f>CONCATENATE(SUM($K$6:$K285)," / ",SUM($K$6:$K$370))</f>
        <v>651,895 / 651,895</v>
      </c>
      <c r="K285" s="244">
        <v>0</v>
      </c>
      <c r="L285" s="28"/>
      <c r="M285" s="28" t="str">
        <f>CONCATENATE(SUMIF($E$6:$E285,$E285,$P$6:$P$370)," / ",SUMIF($E$6:$E$370,$E285,$P$6:$P$370))</f>
        <v>0 / 0</v>
      </c>
      <c r="N285" s="28" t="str">
        <f ca="1">CONCATENATE(SUMIF($F$6:$F285,$F285,$P285)," / ",SUMIF($F$6:$F$370,$F285,$P$6:$P$370))</f>
        <v>0 / 0</v>
      </c>
      <c r="O285" s="28" t="str">
        <f>CONCATENATE(SUM($P$6:$P285)," / ",SUM($P$6:$P649))</f>
        <v>528 / 528</v>
      </c>
      <c r="P285" s="244">
        <v>0</v>
      </c>
      <c r="Q285" s="28"/>
      <c r="R285" s="245">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399">
        <v>42650</v>
      </c>
      <c r="C286" s="35" t="str">
        <f t="shared" si="19"/>
        <v>Vendredi</v>
      </c>
      <c r="D286" s="35">
        <f t="shared" si="22"/>
        <v>281</v>
      </c>
      <c r="E286" s="124">
        <f t="shared" si="20"/>
        <v>41</v>
      </c>
      <c r="F286" s="124">
        <f t="shared" si="21"/>
        <v>10</v>
      </c>
      <c r="G286" s="27"/>
      <c r="H286" s="28" t="str">
        <f>CONCATENATE(SUMIF($E$6:$E286,$E286,$K$6:$K$370)," / ",SUMIF($E$6:$E$370,$E286,$K$6:$K$370))</f>
        <v>0 / 0</v>
      </c>
      <c r="I286" s="28" t="str">
        <f>CONCATENATE(SUMIF($F$6:$F286,$F286,$K$6:$K$370)," / ",SUMIF($F$6:$F$370,$F286,$K$6:$K$370))</f>
        <v>0 / 0</v>
      </c>
      <c r="J286" s="28" t="str">
        <f>CONCATENATE(SUM($K$6:$K286)," / ",SUM($K$6:$K$370))</f>
        <v>651,895 / 651,895</v>
      </c>
      <c r="K286" s="244">
        <v>0</v>
      </c>
      <c r="L286" s="28"/>
      <c r="M286" s="28" t="str">
        <f>CONCATENATE(SUMIF($E$6:$E286,$E286,$P$6:$P$370)," / ",SUMIF($E$6:$E$370,$E286,$P$6:$P$370))</f>
        <v>0 / 0</v>
      </c>
      <c r="N286" s="28" t="str">
        <f ca="1">CONCATENATE(SUMIF($F$6:$F286,$F286,$P286)," / ",SUMIF($F$6:$F$370,$F286,$P$6:$P$370))</f>
        <v>0 / 0</v>
      </c>
      <c r="O286" s="28" t="str">
        <f>CONCATENATE(SUM($P$6:$P286)," / ",SUM($P$6:$P650))</f>
        <v>528 / 528</v>
      </c>
      <c r="P286" s="244">
        <v>0</v>
      </c>
      <c r="Q286" s="28"/>
      <c r="R286" s="245">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399">
        <v>42651</v>
      </c>
      <c r="C287" s="35" t="str">
        <f t="shared" si="19"/>
        <v>Samedi</v>
      </c>
      <c r="D287" s="35">
        <f t="shared" si="22"/>
        <v>282</v>
      </c>
      <c r="E287" s="124">
        <f t="shared" si="20"/>
        <v>41</v>
      </c>
      <c r="F287" s="124">
        <f t="shared" si="21"/>
        <v>10</v>
      </c>
      <c r="G287" s="27"/>
      <c r="H287" s="28" t="str">
        <f>CONCATENATE(SUMIF($E$6:$E287,$E287,$K$6:$K$370)," / ",SUMIF($E$6:$E$370,$E287,$K$6:$K$370))</f>
        <v>0 / 0</v>
      </c>
      <c r="I287" s="28" t="str">
        <f>CONCATENATE(SUMIF($F$6:$F287,$F287,$K$6:$K$370)," / ",SUMIF($F$6:$F$370,$F287,$K$6:$K$370))</f>
        <v>0 / 0</v>
      </c>
      <c r="J287" s="28" t="str">
        <f>CONCATENATE(SUM($K$6:$K287)," / ",SUM($K$6:$K$370))</f>
        <v>651,895 / 651,895</v>
      </c>
      <c r="K287" s="244">
        <v>0</v>
      </c>
      <c r="L287" s="28"/>
      <c r="M287" s="28" t="str">
        <f>CONCATENATE(SUMIF($E$6:$E287,$E287,$P$6:$P$370)," / ",SUMIF($E$6:$E$370,$E287,$P$6:$P$370))</f>
        <v>0 / 0</v>
      </c>
      <c r="N287" s="28" t="str">
        <f ca="1">CONCATENATE(SUMIF($F$6:$F287,$F287,$P287)," / ",SUMIF($F$6:$F$370,$F287,$P$6:$P$370))</f>
        <v>0 / 0</v>
      </c>
      <c r="O287" s="28" t="str">
        <f>CONCATENATE(SUM($P$6:$P287)," / ",SUM($P$6:$P651))</f>
        <v>528 / 528</v>
      </c>
      <c r="P287" s="244">
        <v>0</v>
      </c>
      <c r="Q287" s="28"/>
      <c r="R287" s="245">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399">
        <v>42652</v>
      </c>
      <c r="C288" s="35" t="str">
        <f t="shared" si="19"/>
        <v>Dimanche</v>
      </c>
      <c r="D288" s="35">
        <f t="shared" si="22"/>
        <v>283</v>
      </c>
      <c r="E288" s="124">
        <f t="shared" si="20"/>
        <v>42</v>
      </c>
      <c r="F288" s="124">
        <f t="shared" si="21"/>
        <v>10</v>
      </c>
      <c r="G288" s="27"/>
      <c r="H288" s="28" t="str">
        <f>CONCATENATE(SUMIF($E$6:$E288,$E288,$K$6:$K$370)," / ",SUMIF($E$6:$E$370,$E288,$K$6:$K$370))</f>
        <v>0 / 0</v>
      </c>
      <c r="I288" s="28" t="str">
        <f>CONCATENATE(SUMIF($F$6:$F288,$F288,$K$6:$K$370)," / ",SUMIF($F$6:$F$370,$F288,$K$6:$K$370))</f>
        <v>0 / 0</v>
      </c>
      <c r="J288" s="28" t="str">
        <f>CONCATENATE(SUM($K$6:$K288)," / ",SUM($K$6:$K$370))</f>
        <v>651,895 / 651,895</v>
      </c>
      <c r="K288" s="244">
        <v>0</v>
      </c>
      <c r="L288" s="28"/>
      <c r="M288" s="28" t="str">
        <f>CONCATENATE(SUMIF($E$6:$E288,$E288,$P$6:$P$370)," / ",SUMIF($E$6:$E$370,$E288,$P$6:$P$370))</f>
        <v>0 / 0</v>
      </c>
      <c r="N288" s="28" t="str">
        <f ca="1">CONCATENATE(SUMIF($F$6:$F288,$F288,$P288)," / ",SUMIF($F$6:$F$370,$F288,$P$6:$P$370))</f>
        <v>0 / 0</v>
      </c>
      <c r="O288" s="28" t="str">
        <f>CONCATENATE(SUM($P$6:$P288)," / ",SUM($P$6:$P652))</f>
        <v>528 / 528</v>
      </c>
      <c r="P288" s="244">
        <v>0</v>
      </c>
      <c r="Q288" s="28"/>
      <c r="R288" s="245">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399">
        <v>42653</v>
      </c>
      <c r="C289" s="35" t="str">
        <f t="shared" si="19"/>
        <v>Lundi</v>
      </c>
      <c r="D289" s="35">
        <f t="shared" si="22"/>
        <v>284</v>
      </c>
      <c r="E289" s="124">
        <f t="shared" si="20"/>
        <v>42</v>
      </c>
      <c r="F289" s="124">
        <f t="shared" si="21"/>
        <v>10</v>
      </c>
      <c r="G289" s="27"/>
      <c r="H289" s="28" t="str">
        <f>CONCATENATE(SUMIF($E$6:$E289,$E289,$K$6:$K$370)," / ",SUMIF($E$6:$E$370,$E289,$K$6:$K$370))</f>
        <v>0 / 0</v>
      </c>
      <c r="I289" s="28" t="str">
        <f>CONCATENATE(SUMIF($F$6:$F289,$F289,$K$6:$K$370)," / ",SUMIF($F$6:$F$370,$F289,$K$6:$K$370))</f>
        <v>0 / 0</v>
      </c>
      <c r="J289" s="28" t="str">
        <f>CONCATENATE(SUM($K$6:$K289)," / ",SUM($K$6:$K$370))</f>
        <v>651,895 / 651,895</v>
      </c>
      <c r="K289" s="244">
        <v>0</v>
      </c>
      <c r="L289" s="28"/>
      <c r="M289" s="28" t="str">
        <f>CONCATENATE(SUMIF($E$6:$E289,$E289,$P$6:$P$370)," / ",SUMIF($E$6:$E$370,$E289,$P$6:$P$370))</f>
        <v>0 / 0</v>
      </c>
      <c r="N289" s="28" t="str">
        <f ca="1">CONCATENATE(SUMIF($F$6:$F289,$F289,$P289)," / ",SUMIF($F$6:$F$370,$F289,$P$6:$P$370))</f>
        <v>0 / 0</v>
      </c>
      <c r="O289" s="28" t="str">
        <f>CONCATENATE(SUM($P$6:$P289)," / ",SUM($P$6:$P653))</f>
        <v>528 / 528</v>
      </c>
      <c r="P289" s="244">
        <v>0</v>
      </c>
      <c r="Q289" s="28"/>
      <c r="R289" s="245">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399">
        <v>42654</v>
      </c>
      <c r="C290" s="35" t="str">
        <f t="shared" si="19"/>
        <v>Mardi</v>
      </c>
      <c r="D290" s="35">
        <f t="shared" si="22"/>
        <v>285</v>
      </c>
      <c r="E290" s="124">
        <f t="shared" si="20"/>
        <v>42</v>
      </c>
      <c r="F290" s="124">
        <f t="shared" si="21"/>
        <v>10</v>
      </c>
      <c r="G290" s="27"/>
      <c r="H290" s="28" t="str">
        <f>CONCATENATE(SUMIF($E$6:$E290,$E290,$K$6:$K$370)," / ",SUMIF($E$6:$E$370,$E290,$K$6:$K$370))</f>
        <v>0 / 0</v>
      </c>
      <c r="I290" s="28" t="str">
        <f>CONCATENATE(SUMIF($F$6:$F290,$F290,$K$6:$K$370)," / ",SUMIF($F$6:$F$370,$F290,$K$6:$K$370))</f>
        <v>0 / 0</v>
      </c>
      <c r="J290" s="28" t="str">
        <f>CONCATENATE(SUM($K$6:$K290)," / ",SUM($K$6:$K$370))</f>
        <v>651,895 / 651,895</v>
      </c>
      <c r="K290" s="244">
        <v>0</v>
      </c>
      <c r="L290" s="28"/>
      <c r="M290" s="28" t="str">
        <f>CONCATENATE(SUMIF($E$6:$E290,$E290,$P$6:$P$370)," / ",SUMIF($E$6:$E$370,$E290,$P$6:$P$370))</f>
        <v>0 / 0</v>
      </c>
      <c r="N290" s="28" t="str">
        <f ca="1">CONCATENATE(SUMIF($F$6:$F290,$F290,$P290)," / ",SUMIF($F$6:$F$370,$F290,$P$6:$P$370))</f>
        <v>0 / 0</v>
      </c>
      <c r="O290" s="28" t="str">
        <f>CONCATENATE(SUM($P$6:$P290)," / ",SUM($P$6:$P654))</f>
        <v>528 / 528</v>
      </c>
      <c r="P290" s="244">
        <v>0</v>
      </c>
      <c r="Q290" s="28"/>
      <c r="R290" s="245">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399">
        <v>42655</v>
      </c>
      <c r="C291" s="35" t="str">
        <f t="shared" si="19"/>
        <v>Mercredi</v>
      </c>
      <c r="D291" s="35">
        <f t="shared" si="22"/>
        <v>286</v>
      </c>
      <c r="E291" s="124">
        <f t="shared" si="20"/>
        <v>42</v>
      </c>
      <c r="F291" s="124">
        <f t="shared" si="21"/>
        <v>10</v>
      </c>
      <c r="G291" s="27"/>
      <c r="H291" s="28" t="str">
        <f>CONCATENATE(SUMIF($E$6:$E291,$E291,$K$6:$K$370)," / ",SUMIF($E$6:$E$370,$E291,$K$6:$K$370))</f>
        <v>0 / 0</v>
      </c>
      <c r="I291" s="28" t="str">
        <f>CONCATENATE(SUMIF($F$6:$F291,$F291,$K$6:$K$370)," / ",SUMIF($F$6:$F$370,$F291,$K$6:$K$370))</f>
        <v>0 / 0</v>
      </c>
      <c r="J291" s="28" t="str">
        <f>CONCATENATE(SUM($K$6:$K291)," / ",SUM($K$6:$K$370))</f>
        <v>651,895 / 651,895</v>
      </c>
      <c r="K291" s="244">
        <v>0</v>
      </c>
      <c r="L291" s="28"/>
      <c r="M291" s="28" t="str">
        <f>CONCATENATE(SUMIF($E$6:$E291,$E291,$P$6:$P$370)," / ",SUMIF($E$6:$E$370,$E291,$P$6:$P$370))</f>
        <v>0 / 0</v>
      </c>
      <c r="N291" s="28" t="str">
        <f ca="1">CONCATENATE(SUMIF($F$6:$F291,$F291,$P291)," / ",SUMIF($F$6:$F$370,$F291,$P$6:$P$370))</f>
        <v>0 / 0</v>
      </c>
      <c r="O291" s="28" t="str">
        <f>CONCATENATE(SUM($P$6:$P291)," / ",SUM($P$6:$P655))</f>
        <v>528 / 528</v>
      </c>
      <c r="P291" s="244">
        <v>0</v>
      </c>
      <c r="Q291" s="28"/>
      <c r="R291" s="245">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399">
        <v>42656</v>
      </c>
      <c r="C292" s="35" t="str">
        <f t="shared" si="19"/>
        <v>Jeudi</v>
      </c>
      <c r="D292" s="35">
        <f t="shared" si="22"/>
        <v>287</v>
      </c>
      <c r="E292" s="124">
        <f t="shared" si="20"/>
        <v>42</v>
      </c>
      <c r="F292" s="124">
        <f t="shared" si="21"/>
        <v>10</v>
      </c>
      <c r="G292" s="27"/>
      <c r="H292" s="28" t="str">
        <f>CONCATENATE(SUMIF($E$6:$E292,$E292,$K$6:$K$370)," / ",SUMIF($E$6:$E$370,$E292,$K$6:$K$370))</f>
        <v>0 / 0</v>
      </c>
      <c r="I292" s="28" t="str">
        <f>CONCATENATE(SUMIF($F$6:$F292,$F292,$K$6:$K$370)," / ",SUMIF($F$6:$F$370,$F292,$K$6:$K$370))</f>
        <v>0 / 0</v>
      </c>
      <c r="J292" s="28" t="str">
        <f>CONCATENATE(SUM($K$6:$K292)," / ",SUM($K$6:$K$370))</f>
        <v>651,895 / 651,895</v>
      </c>
      <c r="K292" s="244">
        <v>0</v>
      </c>
      <c r="L292" s="28"/>
      <c r="M292" s="28" t="str">
        <f>CONCATENATE(SUMIF($E$6:$E292,$E292,$P$6:$P$370)," / ",SUMIF($E$6:$E$370,$E292,$P$6:$P$370))</f>
        <v>0 / 0</v>
      </c>
      <c r="N292" s="28" t="str">
        <f ca="1">CONCATENATE(SUMIF($F$6:$F292,$F292,$P292)," / ",SUMIF($F$6:$F$370,$F292,$P$6:$P$370))</f>
        <v>0 / 0</v>
      </c>
      <c r="O292" s="28" t="str">
        <f>CONCATENATE(SUM($P$6:$P292)," / ",SUM($P$6:$P656))</f>
        <v>528 / 528</v>
      </c>
      <c r="P292" s="244">
        <v>0</v>
      </c>
      <c r="Q292" s="28"/>
      <c r="R292" s="245">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399">
        <v>42657</v>
      </c>
      <c r="C293" s="35" t="str">
        <f t="shared" si="19"/>
        <v>Vendredi</v>
      </c>
      <c r="D293" s="35">
        <f t="shared" si="22"/>
        <v>288</v>
      </c>
      <c r="E293" s="124">
        <f t="shared" si="20"/>
        <v>42</v>
      </c>
      <c r="F293" s="124">
        <f t="shared" si="21"/>
        <v>10</v>
      </c>
      <c r="G293" s="27"/>
      <c r="H293" s="28" t="str">
        <f>CONCATENATE(SUMIF($E$6:$E293,$E293,$K$6:$K$370)," / ",SUMIF($E$6:$E$370,$E293,$K$6:$K$370))</f>
        <v>0 / 0</v>
      </c>
      <c r="I293" s="28" t="str">
        <f>CONCATENATE(SUMIF($F$6:$F293,$F293,$K$6:$K$370)," / ",SUMIF($F$6:$F$370,$F293,$K$6:$K$370))</f>
        <v>0 / 0</v>
      </c>
      <c r="J293" s="28" t="str">
        <f>CONCATENATE(SUM($K$6:$K293)," / ",SUM($K$6:$K$370))</f>
        <v>651,895 / 651,895</v>
      </c>
      <c r="K293" s="244">
        <v>0</v>
      </c>
      <c r="L293" s="28"/>
      <c r="M293" s="28" t="str">
        <f>CONCATENATE(SUMIF($E$6:$E293,$E293,$P$6:$P$370)," / ",SUMIF($E$6:$E$370,$E293,$P$6:$P$370))</f>
        <v>0 / 0</v>
      </c>
      <c r="N293" s="28" t="str">
        <f ca="1">CONCATENATE(SUMIF($F$6:$F293,$F293,$P293)," / ",SUMIF($F$6:$F$370,$F293,$P$6:$P$370))</f>
        <v>0 / 0</v>
      </c>
      <c r="O293" s="28" t="str">
        <f>CONCATENATE(SUM($P$6:$P293)," / ",SUM($P$6:$P657))</f>
        <v>528 / 528</v>
      </c>
      <c r="P293" s="244">
        <v>0</v>
      </c>
      <c r="Q293" s="28"/>
      <c r="R293" s="245">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399">
        <v>42658</v>
      </c>
      <c r="C294" s="35" t="str">
        <f t="shared" si="19"/>
        <v>Samedi</v>
      </c>
      <c r="D294" s="35">
        <f t="shared" si="22"/>
        <v>289</v>
      </c>
      <c r="E294" s="124">
        <f t="shared" si="20"/>
        <v>42</v>
      </c>
      <c r="F294" s="124">
        <f t="shared" si="21"/>
        <v>10</v>
      </c>
      <c r="G294" s="27"/>
      <c r="H294" s="28" t="str">
        <f>CONCATENATE(SUMIF($E$6:$E294,$E294,$K$6:$K$370)," / ",SUMIF($E$6:$E$370,$E294,$K$6:$K$370))</f>
        <v>0 / 0</v>
      </c>
      <c r="I294" s="28" t="str">
        <f>CONCATENATE(SUMIF($F$6:$F294,$F294,$K$6:$K$370)," / ",SUMIF($F$6:$F$370,$F294,$K$6:$K$370))</f>
        <v>0 / 0</v>
      </c>
      <c r="J294" s="28" t="str">
        <f>CONCATENATE(SUM($K$6:$K294)," / ",SUM($K$6:$K$370))</f>
        <v>651,895 / 651,895</v>
      </c>
      <c r="K294" s="244">
        <v>0</v>
      </c>
      <c r="L294" s="28"/>
      <c r="M294" s="28" t="str">
        <f>CONCATENATE(SUMIF($E$6:$E294,$E294,$P$6:$P$370)," / ",SUMIF($E$6:$E$370,$E294,$P$6:$P$370))</f>
        <v>0 / 0</v>
      </c>
      <c r="N294" s="28" t="str">
        <f ca="1">CONCATENATE(SUMIF($F$6:$F294,$F294,$P294)," / ",SUMIF($F$6:$F$370,$F294,$P$6:$P$370))</f>
        <v>0 / 0</v>
      </c>
      <c r="O294" s="28" t="str">
        <f>CONCATENATE(SUM($P$6:$P294)," / ",SUM($P$6:$P658))</f>
        <v>528 / 528</v>
      </c>
      <c r="P294" s="244">
        <v>0</v>
      </c>
      <c r="Q294" s="28"/>
      <c r="R294" s="245">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399">
        <v>42659</v>
      </c>
      <c r="C295" s="35" t="str">
        <f t="shared" si="19"/>
        <v>Dimanche</v>
      </c>
      <c r="D295" s="35">
        <f t="shared" si="22"/>
        <v>290</v>
      </c>
      <c r="E295" s="124">
        <f t="shared" si="20"/>
        <v>43</v>
      </c>
      <c r="F295" s="124">
        <f t="shared" si="21"/>
        <v>10</v>
      </c>
      <c r="G295" s="27"/>
      <c r="H295" s="28" t="str">
        <f>CONCATENATE(SUMIF($E$6:$E295,$E295,$K$6:$K$370)," / ",SUMIF($E$6:$E$370,$E295,$K$6:$K$370))</f>
        <v>0 / 0</v>
      </c>
      <c r="I295" s="28" t="str">
        <f>CONCATENATE(SUMIF($F$6:$F295,$F295,$K$6:$K$370)," / ",SUMIF($F$6:$F$370,$F295,$K$6:$K$370))</f>
        <v>0 / 0</v>
      </c>
      <c r="J295" s="28" t="str">
        <f>CONCATENATE(SUM($K$6:$K295)," / ",SUM($K$6:$K$370))</f>
        <v>651,895 / 651,895</v>
      </c>
      <c r="K295" s="244">
        <v>0</v>
      </c>
      <c r="L295" s="28"/>
      <c r="M295" s="28" t="str">
        <f>CONCATENATE(SUMIF($E$6:$E295,$E295,$P$6:$P$370)," / ",SUMIF($E$6:$E$370,$E295,$P$6:$P$370))</f>
        <v>0 / 0</v>
      </c>
      <c r="N295" s="28" t="str">
        <f ca="1">CONCATENATE(SUMIF($F$6:$F295,$F295,$P295)," / ",SUMIF($F$6:$F$370,$F295,$P$6:$P$370))</f>
        <v>0 / 0</v>
      </c>
      <c r="O295" s="28" t="str">
        <f>CONCATENATE(SUM($P$6:$P295)," / ",SUM($P$6:$P659))</f>
        <v>528 / 528</v>
      </c>
      <c r="P295" s="244">
        <v>0</v>
      </c>
      <c r="Q295" s="28"/>
      <c r="R295" s="245">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399">
        <v>42660</v>
      </c>
      <c r="C296" s="35" t="str">
        <f t="shared" si="19"/>
        <v>Lundi</v>
      </c>
      <c r="D296" s="35">
        <f t="shared" si="22"/>
        <v>291</v>
      </c>
      <c r="E296" s="124">
        <f t="shared" si="20"/>
        <v>43</v>
      </c>
      <c r="F296" s="124">
        <f t="shared" si="21"/>
        <v>10</v>
      </c>
      <c r="G296" s="27"/>
      <c r="H296" s="28" t="str">
        <f>CONCATENATE(SUMIF($E$6:$E296,$E296,$K$6:$K$370)," / ",SUMIF($E$6:$E$370,$E296,$K$6:$K$370))</f>
        <v>0 / 0</v>
      </c>
      <c r="I296" s="28" t="str">
        <f>CONCATENATE(SUMIF($F$6:$F296,$F296,$K$6:$K$370)," / ",SUMIF($F$6:$F$370,$F296,$K$6:$K$370))</f>
        <v>0 / 0</v>
      </c>
      <c r="J296" s="28" t="str">
        <f>CONCATENATE(SUM($K$6:$K296)," / ",SUM($K$6:$K$370))</f>
        <v>651,895 / 651,895</v>
      </c>
      <c r="K296" s="244">
        <v>0</v>
      </c>
      <c r="L296" s="28"/>
      <c r="M296" s="28" t="str">
        <f>CONCATENATE(SUMIF($E$6:$E296,$E296,$P$6:$P$370)," / ",SUMIF($E$6:$E$370,$E296,$P$6:$P$370))</f>
        <v>0 / 0</v>
      </c>
      <c r="N296" s="28" t="str">
        <f ca="1">CONCATENATE(SUMIF($F$6:$F296,$F296,$P296)," / ",SUMIF($F$6:$F$370,$F296,$P$6:$P$370))</f>
        <v>0 / 0</v>
      </c>
      <c r="O296" s="28" t="str">
        <f>CONCATENATE(SUM($P$6:$P296)," / ",SUM($P$6:$P660))</f>
        <v>528 / 528</v>
      </c>
      <c r="P296" s="244">
        <v>0</v>
      </c>
      <c r="Q296" s="28"/>
      <c r="R296" s="245">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399">
        <v>42661</v>
      </c>
      <c r="C297" s="35" t="str">
        <f t="shared" si="19"/>
        <v>Mardi</v>
      </c>
      <c r="D297" s="35">
        <f t="shared" si="22"/>
        <v>292</v>
      </c>
      <c r="E297" s="124">
        <f t="shared" si="20"/>
        <v>43</v>
      </c>
      <c r="F297" s="124">
        <f t="shared" si="21"/>
        <v>10</v>
      </c>
      <c r="G297" s="27"/>
      <c r="H297" s="28" t="str">
        <f>CONCATENATE(SUMIF($E$6:$E297,$E297,$K$6:$K$370)," / ",SUMIF($E$6:$E$370,$E297,$K$6:$K$370))</f>
        <v>0 / 0</v>
      </c>
      <c r="I297" s="28" t="str">
        <f>CONCATENATE(SUMIF($F$6:$F297,$F297,$K$6:$K$370)," / ",SUMIF($F$6:$F$370,$F297,$K$6:$K$370))</f>
        <v>0 / 0</v>
      </c>
      <c r="J297" s="28" t="str">
        <f>CONCATENATE(SUM($K$6:$K297)," / ",SUM($K$6:$K$370))</f>
        <v>651,895 / 651,895</v>
      </c>
      <c r="K297" s="244">
        <v>0</v>
      </c>
      <c r="L297" s="28"/>
      <c r="M297" s="28" t="str">
        <f>CONCATENATE(SUMIF($E$6:$E297,$E297,$P$6:$P$370)," / ",SUMIF($E$6:$E$370,$E297,$P$6:$P$370))</f>
        <v>0 / 0</v>
      </c>
      <c r="N297" s="28" t="str">
        <f ca="1">CONCATENATE(SUMIF($F$6:$F297,$F297,$P297)," / ",SUMIF($F$6:$F$370,$F297,$P$6:$P$370))</f>
        <v>0 / 0</v>
      </c>
      <c r="O297" s="28" t="str">
        <f>CONCATENATE(SUM($P$6:$P297)," / ",SUM($P$6:$P661))</f>
        <v>528 / 528</v>
      </c>
      <c r="P297" s="244">
        <v>0</v>
      </c>
      <c r="Q297" s="28"/>
      <c r="R297" s="245">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399">
        <v>42662</v>
      </c>
      <c r="C298" s="35" t="str">
        <f t="shared" si="19"/>
        <v>Mercredi</v>
      </c>
      <c r="D298" s="35">
        <f t="shared" si="22"/>
        <v>293</v>
      </c>
      <c r="E298" s="124">
        <f t="shared" si="20"/>
        <v>43</v>
      </c>
      <c r="F298" s="124">
        <f t="shared" si="21"/>
        <v>10</v>
      </c>
      <c r="G298" s="27"/>
      <c r="H298" s="28" t="str">
        <f>CONCATENATE(SUMIF($E$6:$E298,$E298,$K$6:$K$370)," / ",SUMIF($E$6:$E$370,$E298,$K$6:$K$370))</f>
        <v>0 / 0</v>
      </c>
      <c r="I298" s="28" t="str">
        <f>CONCATENATE(SUMIF($F$6:$F298,$F298,$K$6:$K$370)," / ",SUMIF($F$6:$F$370,$F298,$K$6:$K$370))</f>
        <v>0 / 0</v>
      </c>
      <c r="J298" s="28" t="str">
        <f>CONCATENATE(SUM($K$6:$K298)," / ",SUM($K$6:$K$370))</f>
        <v>651,895 / 651,895</v>
      </c>
      <c r="K298" s="244">
        <v>0</v>
      </c>
      <c r="L298" s="28"/>
      <c r="M298" s="28" t="str">
        <f>CONCATENATE(SUMIF($E$6:$E298,$E298,$P$6:$P$370)," / ",SUMIF($E$6:$E$370,$E298,$P$6:$P$370))</f>
        <v>0 / 0</v>
      </c>
      <c r="N298" s="28" t="str">
        <f ca="1">CONCATENATE(SUMIF($F$6:$F298,$F298,$P298)," / ",SUMIF($F$6:$F$370,$F298,$P$6:$P$370))</f>
        <v>0 / 0</v>
      </c>
      <c r="O298" s="28" t="str">
        <f>CONCATENATE(SUM($P$6:$P298)," / ",SUM($P$6:$P662))</f>
        <v>528 / 528</v>
      </c>
      <c r="P298" s="244">
        <v>0</v>
      </c>
      <c r="Q298" s="28"/>
      <c r="R298" s="245">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399">
        <v>42663</v>
      </c>
      <c r="C299" s="35" t="str">
        <f t="shared" si="19"/>
        <v>Jeudi</v>
      </c>
      <c r="D299" s="35">
        <f t="shared" si="22"/>
        <v>294</v>
      </c>
      <c r="E299" s="124">
        <f t="shared" si="20"/>
        <v>43</v>
      </c>
      <c r="F299" s="124">
        <f t="shared" si="21"/>
        <v>10</v>
      </c>
      <c r="G299" s="27"/>
      <c r="H299" s="28" t="str">
        <f>CONCATENATE(SUMIF($E$6:$E299,$E299,$K$6:$K$370)," / ",SUMIF($E$6:$E$370,$E299,$K$6:$K$370))</f>
        <v>0 / 0</v>
      </c>
      <c r="I299" s="28" t="str">
        <f>CONCATENATE(SUMIF($F$6:$F299,$F299,$K$6:$K$370)," / ",SUMIF($F$6:$F$370,$F299,$K$6:$K$370))</f>
        <v>0 / 0</v>
      </c>
      <c r="J299" s="28" t="str">
        <f>CONCATENATE(SUM($K$6:$K299)," / ",SUM($K$6:$K$370))</f>
        <v>651,895 / 651,895</v>
      </c>
      <c r="K299" s="244">
        <v>0</v>
      </c>
      <c r="L299" s="28"/>
      <c r="M299" s="28" t="str">
        <f>CONCATENATE(SUMIF($E$6:$E299,$E299,$P$6:$P$370)," / ",SUMIF($E$6:$E$370,$E299,$P$6:$P$370))</f>
        <v>0 / 0</v>
      </c>
      <c r="N299" s="28" t="str">
        <f ca="1">CONCATENATE(SUMIF($F$6:$F299,$F299,$P299)," / ",SUMIF($F$6:$F$370,$F299,$P$6:$P$370))</f>
        <v>0 / 0</v>
      </c>
      <c r="O299" s="28" t="str">
        <f>CONCATENATE(SUM($P$6:$P299)," / ",SUM($P$6:$P663))</f>
        <v>528 / 528</v>
      </c>
      <c r="P299" s="244">
        <v>0</v>
      </c>
      <c r="Q299" s="28"/>
      <c r="R299" s="245">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399">
        <v>42664</v>
      </c>
      <c r="C300" s="35" t="str">
        <f t="shared" si="19"/>
        <v>Vendredi</v>
      </c>
      <c r="D300" s="35">
        <f t="shared" si="22"/>
        <v>295</v>
      </c>
      <c r="E300" s="124">
        <f t="shared" si="20"/>
        <v>43</v>
      </c>
      <c r="F300" s="124">
        <f t="shared" si="21"/>
        <v>10</v>
      </c>
      <c r="G300" s="27"/>
      <c r="H300" s="28" t="str">
        <f>CONCATENATE(SUMIF($E$6:$E300,$E300,$K$6:$K$370)," / ",SUMIF($E$6:$E$370,$E300,$K$6:$K$370))</f>
        <v>0 / 0</v>
      </c>
      <c r="I300" s="28" t="str">
        <f>CONCATENATE(SUMIF($F$6:$F300,$F300,$K$6:$K$370)," / ",SUMIF($F$6:$F$370,$F300,$K$6:$K$370))</f>
        <v>0 / 0</v>
      </c>
      <c r="J300" s="28" t="str">
        <f>CONCATENATE(SUM($K$6:$K300)," / ",SUM($K$6:$K$370))</f>
        <v>651,895 / 651,895</v>
      </c>
      <c r="K300" s="244">
        <v>0</v>
      </c>
      <c r="L300" s="28"/>
      <c r="M300" s="28" t="str">
        <f>CONCATENATE(SUMIF($E$6:$E300,$E300,$P$6:$P$370)," / ",SUMIF($E$6:$E$370,$E300,$P$6:$P$370))</f>
        <v>0 / 0</v>
      </c>
      <c r="N300" s="28" t="str">
        <f ca="1">CONCATENATE(SUMIF($F$6:$F300,$F300,$P300)," / ",SUMIF($F$6:$F$370,$F300,$P$6:$P$370))</f>
        <v>0 / 0</v>
      </c>
      <c r="O300" s="28" t="str">
        <f>CONCATENATE(SUM($P$6:$P300)," / ",SUM($P$6:$P664))</f>
        <v>528 / 528</v>
      </c>
      <c r="P300" s="244">
        <v>0</v>
      </c>
      <c r="Q300" s="28"/>
      <c r="R300" s="245">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399">
        <v>42665</v>
      </c>
      <c r="C301" s="35" t="str">
        <f t="shared" si="19"/>
        <v>Samedi</v>
      </c>
      <c r="D301" s="35">
        <f t="shared" si="22"/>
        <v>296</v>
      </c>
      <c r="E301" s="124">
        <f t="shared" si="20"/>
        <v>43</v>
      </c>
      <c r="F301" s="124">
        <f t="shared" si="21"/>
        <v>10</v>
      </c>
      <c r="G301" s="27"/>
      <c r="H301" s="28" t="str">
        <f>CONCATENATE(SUMIF($E$6:$E301,$E301,$K$6:$K$370)," / ",SUMIF($E$6:$E$370,$E301,$K$6:$K$370))</f>
        <v>0 / 0</v>
      </c>
      <c r="I301" s="28" t="str">
        <f>CONCATENATE(SUMIF($F$6:$F301,$F301,$K$6:$K$370)," / ",SUMIF($F$6:$F$370,$F301,$K$6:$K$370))</f>
        <v>0 / 0</v>
      </c>
      <c r="J301" s="28" t="str">
        <f>CONCATENATE(SUM($K$6:$K301)," / ",SUM($K$6:$K$370))</f>
        <v>651,895 / 651,895</v>
      </c>
      <c r="K301" s="244">
        <v>0</v>
      </c>
      <c r="L301" s="28"/>
      <c r="M301" s="28" t="str">
        <f>CONCATENATE(SUMIF($E$6:$E301,$E301,$P$6:$P$370)," / ",SUMIF($E$6:$E$370,$E301,$P$6:$P$370))</f>
        <v>0 / 0</v>
      </c>
      <c r="N301" s="28" t="str">
        <f ca="1">CONCATENATE(SUMIF($F$6:$F301,$F301,$P301)," / ",SUMIF($F$6:$F$370,$F301,$P$6:$P$370))</f>
        <v>0 / 0</v>
      </c>
      <c r="O301" s="28" t="str">
        <f>CONCATENATE(SUM($P$6:$P301)," / ",SUM($P$6:$P665))</f>
        <v>528 / 528</v>
      </c>
      <c r="P301" s="244">
        <v>0</v>
      </c>
      <c r="Q301" s="28"/>
      <c r="R301" s="245">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399">
        <v>42666</v>
      </c>
      <c r="C302" s="35" t="str">
        <f t="shared" si="19"/>
        <v>Dimanche</v>
      </c>
      <c r="D302" s="35">
        <f t="shared" si="22"/>
        <v>297</v>
      </c>
      <c r="E302" s="124">
        <f t="shared" si="20"/>
        <v>44</v>
      </c>
      <c r="F302" s="124">
        <f t="shared" si="21"/>
        <v>10</v>
      </c>
      <c r="G302" s="27"/>
      <c r="H302" s="28" t="str">
        <f>CONCATENATE(SUMIF($E$6:$E302,$E302,$K$6:$K$370)," / ",SUMIF($E$6:$E$370,$E302,$K$6:$K$370))</f>
        <v>0 / 0</v>
      </c>
      <c r="I302" s="28" t="str">
        <f>CONCATENATE(SUMIF($F$6:$F302,$F302,$K$6:$K$370)," / ",SUMIF($F$6:$F$370,$F302,$K$6:$K$370))</f>
        <v>0 / 0</v>
      </c>
      <c r="J302" s="28" t="str">
        <f>CONCATENATE(SUM($K$6:$K302)," / ",SUM($K$6:$K$370))</f>
        <v>651,895 / 651,895</v>
      </c>
      <c r="K302" s="244">
        <v>0</v>
      </c>
      <c r="L302" s="28"/>
      <c r="M302" s="28" t="str">
        <f>CONCATENATE(SUMIF($E$6:$E302,$E302,$P$6:$P$370)," / ",SUMIF($E$6:$E$370,$E302,$P$6:$P$370))</f>
        <v>0 / 0</v>
      </c>
      <c r="N302" s="28" t="str">
        <f ca="1">CONCATENATE(SUMIF($F$6:$F302,$F302,$P302)," / ",SUMIF($F$6:$F$370,$F302,$P$6:$P$370))</f>
        <v>0 / 0</v>
      </c>
      <c r="O302" s="28" t="str">
        <f>CONCATENATE(SUM($P$6:$P302)," / ",SUM($P$6:$P666))</f>
        <v>528 / 528</v>
      </c>
      <c r="P302" s="244">
        <v>0</v>
      </c>
      <c r="Q302" s="28"/>
      <c r="R302" s="245">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399">
        <v>42667</v>
      </c>
      <c r="C303" s="35" t="str">
        <f t="shared" si="19"/>
        <v>Lundi</v>
      </c>
      <c r="D303" s="35">
        <f t="shared" si="22"/>
        <v>298</v>
      </c>
      <c r="E303" s="124">
        <f t="shared" si="20"/>
        <v>44</v>
      </c>
      <c r="F303" s="124">
        <f t="shared" si="21"/>
        <v>10</v>
      </c>
      <c r="G303" s="27"/>
      <c r="H303" s="28" t="str">
        <f>CONCATENATE(SUMIF($E$6:$E303,$E303,$K$6:$K$370)," / ",SUMIF($E$6:$E$370,$E303,$K$6:$K$370))</f>
        <v>0 / 0</v>
      </c>
      <c r="I303" s="28" t="str">
        <f>CONCATENATE(SUMIF($F$6:$F303,$F303,$K$6:$K$370)," / ",SUMIF($F$6:$F$370,$F303,$K$6:$K$370))</f>
        <v>0 / 0</v>
      </c>
      <c r="J303" s="28" t="str">
        <f>CONCATENATE(SUM($K$6:$K303)," / ",SUM($K$6:$K$370))</f>
        <v>651,895 / 651,895</v>
      </c>
      <c r="K303" s="244">
        <v>0</v>
      </c>
      <c r="L303" s="28"/>
      <c r="M303" s="28" t="str">
        <f>CONCATENATE(SUMIF($E$6:$E303,$E303,$P$6:$P$370)," / ",SUMIF($E$6:$E$370,$E303,$P$6:$P$370))</f>
        <v>0 / 0</v>
      </c>
      <c r="N303" s="28" t="str">
        <f ca="1">CONCATENATE(SUMIF($F$6:$F303,$F303,$P303)," / ",SUMIF($F$6:$F$370,$F303,$P$6:$P$370))</f>
        <v>0 / 0</v>
      </c>
      <c r="O303" s="28" t="str">
        <f>CONCATENATE(SUM($P$6:$P303)," / ",SUM($P$6:$P667))</f>
        <v>528 / 528</v>
      </c>
      <c r="P303" s="244">
        <v>0</v>
      </c>
      <c r="Q303" s="28"/>
      <c r="R303" s="245">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399">
        <v>42668</v>
      </c>
      <c r="C304" s="35" t="str">
        <f t="shared" si="19"/>
        <v>Mardi</v>
      </c>
      <c r="D304" s="35">
        <f t="shared" si="22"/>
        <v>299</v>
      </c>
      <c r="E304" s="124">
        <f t="shared" si="20"/>
        <v>44</v>
      </c>
      <c r="F304" s="124">
        <f t="shared" si="21"/>
        <v>10</v>
      </c>
      <c r="G304" s="27"/>
      <c r="H304" s="28" t="str">
        <f>CONCATENATE(SUMIF($E$6:$E304,$E304,$K$6:$K$370)," / ",SUMIF($E$6:$E$370,$E304,$K$6:$K$370))</f>
        <v>0 / 0</v>
      </c>
      <c r="I304" s="28" t="str">
        <f>CONCATENATE(SUMIF($F$6:$F304,$F304,$K$6:$K$370)," / ",SUMIF($F$6:$F$370,$F304,$K$6:$K$370))</f>
        <v>0 / 0</v>
      </c>
      <c r="J304" s="28" t="str">
        <f>CONCATENATE(SUM($K$6:$K304)," / ",SUM($K$6:$K$370))</f>
        <v>651,895 / 651,895</v>
      </c>
      <c r="K304" s="244">
        <v>0</v>
      </c>
      <c r="L304" s="28"/>
      <c r="M304" s="28" t="str">
        <f>CONCATENATE(SUMIF($E$6:$E304,$E304,$P$6:$P$370)," / ",SUMIF($E$6:$E$370,$E304,$P$6:$P$370))</f>
        <v>0 / 0</v>
      </c>
      <c r="N304" s="28" t="str">
        <f ca="1">CONCATENATE(SUMIF($F$6:$F304,$F304,$P304)," / ",SUMIF($F$6:$F$370,$F304,$P$6:$P$370))</f>
        <v>0 / 0</v>
      </c>
      <c r="O304" s="28" t="str">
        <f>CONCATENATE(SUM($P$6:$P304)," / ",SUM($P$6:$P668))</f>
        <v>528 / 528</v>
      </c>
      <c r="P304" s="244">
        <v>0</v>
      </c>
      <c r="Q304" s="28"/>
      <c r="R304" s="245">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399">
        <v>42669</v>
      </c>
      <c r="C305" s="35" t="str">
        <f t="shared" si="19"/>
        <v>Mercredi</v>
      </c>
      <c r="D305" s="35">
        <f t="shared" si="22"/>
        <v>300</v>
      </c>
      <c r="E305" s="124">
        <f t="shared" si="20"/>
        <v>44</v>
      </c>
      <c r="F305" s="124">
        <f t="shared" si="21"/>
        <v>10</v>
      </c>
      <c r="G305" s="27"/>
      <c r="H305" s="28" t="str">
        <f>CONCATENATE(SUMIF($E$6:$E305,$E305,$K$6:$K$370)," / ",SUMIF($E$6:$E$370,$E305,$K$6:$K$370))</f>
        <v>0 / 0</v>
      </c>
      <c r="I305" s="28" t="str">
        <f>CONCATENATE(SUMIF($F$6:$F305,$F305,$K$6:$K$370)," / ",SUMIF($F$6:$F$370,$F305,$K$6:$K$370))</f>
        <v>0 / 0</v>
      </c>
      <c r="J305" s="28" t="str">
        <f>CONCATENATE(SUM($K$6:$K305)," / ",SUM($K$6:$K$370))</f>
        <v>651,895 / 651,895</v>
      </c>
      <c r="K305" s="244">
        <v>0</v>
      </c>
      <c r="L305" s="28"/>
      <c r="M305" s="28" t="str">
        <f>CONCATENATE(SUMIF($E$6:$E305,$E305,$P$6:$P$370)," / ",SUMIF($E$6:$E$370,$E305,$P$6:$P$370))</f>
        <v>0 / 0</v>
      </c>
      <c r="N305" s="28" t="str">
        <f ca="1">CONCATENATE(SUMIF($F$6:$F305,$F305,$P305)," / ",SUMIF($F$6:$F$370,$F305,$P$6:$P$370))</f>
        <v>0 / 0</v>
      </c>
      <c r="O305" s="28" t="str">
        <f>CONCATENATE(SUM($P$6:$P305)," / ",SUM($P$6:$P669))</f>
        <v>528 / 528</v>
      </c>
      <c r="P305" s="244">
        <v>0</v>
      </c>
      <c r="Q305" s="28"/>
      <c r="R305" s="245">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399">
        <v>42670</v>
      </c>
      <c r="C306" s="35" t="str">
        <f t="shared" si="19"/>
        <v>Jeudi</v>
      </c>
      <c r="D306" s="35">
        <f t="shared" si="22"/>
        <v>301</v>
      </c>
      <c r="E306" s="124">
        <f t="shared" si="20"/>
        <v>44</v>
      </c>
      <c r="F306" s="124">
        <f t="shared" si="21"/>
        <v>10</v>
      </c>
      <c r="G306" s="27"/>
      <c r="H306" s="28" t="str">
        <f>CONCATENATE(SUMIF($E$6:$E306,$E306,$K$6:$K$370)," / ",SUMIF($E$6:$E$370,$E306,$K$6:$K$370))</f>
        <v>0 / 0</v>
      </c>
      <c r="I306" s="28" t="str">
        <f>CONCATENATE(SUMIF($F$6:$F306,$F306,$K$6:$K$370)," / ",SUMIF($F$6:$F$370,$F306,$K$6:$K$370))</f>
        <v>0 / 0</v>
      </c>
      <c r="J306" s="28" t="str">
        <f>CONCATENATE(SUM($K$6:$K306)," / ",SUM($K$6:$K$370))</f>
        <v>651,895 / 651,895</v>
      </c>
      <c r="K306" s="244">
        <v>0</v>
      </c>
      <c r="L306" s="28"/>
      <c r="M306" s="28" t="str">
        <f>CONCATENATE(SUMIF($E$6:$E306,$E306,$P$6:$P$370)," / ",SUMIF($E$6:$E$370,$E306,$P$6:$P$370))</f>
        <v>0 / 0</v>
      </c>
      <c r="N306" s="28" t="str">
        <f ca="1">CONCATENATE(SUMIF($F$6:$F306,$F306,$P306)," / ",SUMIF($F$6:$F$370,$F306,$P$6:$P$370))</f>
        <v>0 / 0</v>
      </c>
      <c r="O306" s="28" t="str">
        <f>CONCATENATE(SUM($P$6:$P306)," / ",SUM($P$6:$P670))</f>
        <v>528 / 528</v>
      </c>
      <c r="P306" s="244">
        <v>0</v>
      </c>
      <c r="Q306" s="28"/>
      <c r="R306" s="245">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399">
        <v>42671</v>
      </c>
      <c r="C307" s="35" t="str">
        <f t="shared" si="19"/>
        <v>Vendredi</v>
      </c>
      <c r="D307" s="35">
        <f t="shared" si="22"/>
        <v>302</v>
      </c>
      <c r="E307" s="124">
        <f t="shared" si="20"/>
        <v>44</v>
      </c>
      <c r="F307" s="124">
        <f t="shared" si="21"/>
        <v>10</v>
      </c>
      <c r="G307" s="27"/>
      <c r="H307" s="28" t="str">
        <f>CONCATENATE(SUMIF($E$6:$E307,$E307,$K$6:$K$370)," / ",SUMIF($E$6:$E$370,$E307,$K$6:$K$370))</f>
        <v>0 / 0</v>
      </c>
      <c r="I307" s="28" t="str">
        <f>CONCATENATE(SUMIF($F$6:$F307,$F307,$K$6:$K$370)," / ",SUMIF($F$6:$F$370,$F307,$K$6:$K$370))</f>
        <v>0 / 0</v>
      </c>
      <c r="J307" s="28" t="str">
        <f>CONCATENATE(SUM($K$6:$K307)," / ",SUM($K$6:$K$370))</f>
        <v>651,895 / 651,895</v>
      </c>
      <c r="K307" s="244">
        <v>0</v>
      </c>
      <c r="L307" s="28"/>
      <c r="M307" s="28" t="str">
        <f>CONCATENATE(SUMIF($E$6:$E307,$E307,$P$6:$P$370)," / ",SUMIF($E$6:$E$370,$E307,$P$6:$P$370))</f>
        <v>0 / 0</v>
      </c>
      <c r="N307" s="28" t="str">
        <f ca="1">CONCATENATE(SUMIF($F$6:$F307,$F307,$P307)," / ",SUMIF($F$6:$F$370,$F307,$P$6:$P$370))</f>
        <v>0 / 0</v>
      </c>
      <c r="O307" s="28" t="str">
        <f>CONCATENATE(SUM($P$6:$P307)," / ",SUM($P$6:$P671))</f>
        <v>528 / 528</v>
      </c>
      <c r="P307" s="244">
        <v>0</v>
      </c>
      <c r="Q307" s="28"/>
      <c r="R307" s="245">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399">
        <v>42672</v>
      </c>
      <c r="C308" s="35" t="str">
        <f t="shared" si="19"/>
        <v>Samedi</v>
      </c>
      <c r="D308" s="35">
        <f t="shared" si="22"/>
        <v>303</v>
      </c>
      <c r="E308" s="124">
        <f t="shared" si="20"/>
        <v>44</v>
      </c>
      <c r="F308" s="124">
        <f t="shared" si="21"/>
        <v>10</v>
      </c>
      <c r="G308" s="27"/>
      <c r="H308" s="28" t="str">
        <f>CONCATENATE(SUMIF($E$6:$E308,$E308,$K$6:$K$370)," / ",SUMIF($E$6:$E$370,$E308,$K$6:$K$370))</f>
        <v>0 / 0</v>
      </c>
      <c r="I308" s="28" t="str">
        <f>CONCATENATE(SUMIF($F$6:$F308,$F308,$K$6:$K$370)," / ",SUMIF($F$6:$F$370,$F308,$K$6:$K$370))</f>
        <v>0 / 0</v>
      </c>
      <c r="J308" s="28" t="str">
        <f>CONCATENATE(SUM($K$6:$K308)," / ",SUM($K$6:$K$370))</f>
        <v>651,895 / 651,895</v>
      </c>
      <c r="K308" s="244">
        <v>0</v>
      </c>
      <c r="L308" s="28"/>
      <c r="M308" s="28" t="str">
        <f>CONCATENATE(SUMIF($E$6:$E308,$E308,$P$6:$P$370)," / ",SUMIF($E$6:$E$370,$E308,$P$6:$P$370))</f>
        <v>0 / 0</v>
      </c>
      <c r="N308" s="28" t="str">
        <f ca="1">CONCATENATE(SUMIF($F$6:$F308,$F308,$P308)," / ",SUMIF($F$6:$F$370,$F308,$P$6:$P$370))</f>
        <v>0 / 0</v>
      </c>
      <c r="O308" s="28" t="str">
        <f>CONCATENATE(SUM($P$6:$P308)," / ",SUM($P$6:$P672))</f>
        <v>528 / 528</v>
      </c>
      <c r="P308" s="244">
        <v>0</v>
      </c>
      <c r="Q308" s="28"/>
      <c r="R308" s="245">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399">
        <v>42673</v>
      </c>
      <c r="C309" s="35" t="str">
        <f t="shared" si="19"/>
        <v>Dimanche</v>
      </c>
      <c r="D309" s="35">
        <f t="shared" si="22"/>
        <v>304</v>
      </c>
      <c r="E309" s="124">
        <f t="shared" si="20"/>
        <v>45</v>
      </c>
      <c r="F309" s="124">
        <f t="shared" si="21"/>
        <v>10</v>
      </c>
      <c r="G309" s="27"/>
      <c r="H309" s="28" t="str">
        <f>CONCATENATE(SUMIF($E$6:$E309,$E309,$K$6:$K$370)," / ",SUMIF($E$6:$E$370,$E309,$K$6:$K$370))</f>
        <v>0 / 0</v>
      </c>
      <c r="I309" s="28" t="str">
        <f>CONCATENATE(SUMIF($F$6:$F309,$F309,$K$6:$K$370)," / ",SUMIF($F$6:$F$370,$F309,$K$6:$K$370))</f>
        <v>0 / 0</v>
      </c>
      <c r="J309" s="28" t="str">
        <f>CONCATENATE(SUM($K$6:$K309)," / ",SUM($K$6:$K$370))</f>
        <v>651,895 / 651,895</v>
      </c>
      <c r="K309" s="244">
        <v>0</v>
      </c>
      <c r="L309" s="28"/>
      <c r="M309" s="28" t="str">
        <f>CONCATENATE(SUMIF($E$6:$E309,$E309,$P$6:$P$370)," / ",SUMIF($E$6:$E$370,$E309,$P$6:$P$370))</f>
        <v>0 / 0</v>
      </c>
      <c r="N309" s="28" t="str">
        <f ca="1">CONCATENATE(SUMIF($F$6:$F309,$F309,$P309)," / ",SUMIF($F$6:$F$370,$F309,$P$6:$P$370))</f>
        <v>0 / 0</v>
      </c>
      <c r="O309" s="28" t="str">
        <f>CONCATENATE(SUM($P$6:$P309)," / ",SUM($P$6:$P673))</f>
        <v>528 / 528</v>
      </c>
      <c r="P309" s="244">
        <v>0</v>
      </c>
      <c r="Q309" s="28"/>
      <c r="R309" s="245">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399">
        <v>42674</v>
      </c>
      <c r="C310" s="35" t="str">
        <f t="shared" si="19"/>
        <v>Lundi</v>
      </c>
      <c r="D310" s="35">
        <f t="shared" si="22"/>
        <v>305</v>
      </c>
      <c r="E310" s="124">
        <f t="shared" si="20"/>
        <v>45</v>
      </c>
      <c r="F310" s="124">
        <f t="shared" si="21"/>
        <v>10</v>
      </c>
      <c r="G310" s="27"/>
      <c r="H310" s="28" t="str">
        <f>CONCATENATE(SUMIF($E$6:$E310,$E310,$K$6:$K$370)," / ",SUMIF($E$6:$E$370,$E310,$K$6:$K$370))</f>
        <v>0 / 0</v>
      </c>
      <c r="I310" s="28" t="str">
        <f>CONCATENATE(SUMIF($F$6:$F310,$F310,$K$6:$K$370)," / ",SUMIF($F$6:$F$370,$F310,$K$6:$K$370))</f>
        <v>0 / 0</v>
      </c>
      <c r="J310" s="28" t="str">
        <f>CONCATENATE(SUM($K$6:$K310)," / ",SUM($K$6:$K$370))</f>
        <v>651,895 / 651,895</v>
      </c>
      <c r="K310" s="244">
        <v>0</v>
      </c>
      <c r="L310" s="28"/>
      <c r="M310" s="28" t="str">
        <f>CONCATENATE(SUMIF($E$6:$E310,$E310,$P$6:$P$370)," / ",SUMIF($E$6:$E$370,$E310,$P$6:$P$370))</f>
        <v>0 / 0</v>
      </c>
      <c r="N310" s="28" t="str">
        <f ca="1">CONCATENATE(SUMIF($F$6:$F310,$F310,$P310)," / ",SUMIF($F$6:$F$370,$F310,$P$6:$P$370))</f>
        <v>0 / 0</v>
      </c>
      <c r="O310" s="28" t="str">
        <f>CONCATENATE(SUM($P$6:$P310)," / ",SUM($P$6:$P674))</f>
        <v>528 / 528</v>
      </c>
      <c r="P310" s="244">
        <v>0</v>
      </c>
      <c r="Q310" s="28"/>
      <c r="R310" s="245">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399">
        <v>42675</v>
      </c>
      <c r="C311" s="35" t="str">
        <f t="shared" si="19"/>
        <v>Mardi</v>
      </c>
      <c r="D311" s="35">
        <f t="shared" si="22"/>
        <v>306</v>
      </c>
      <c r="E311" s="124">
        <f t="shared" si="20"/>
        <v>45</v>
      </c>
      <c r="F311" s="124">
        <f t="shared" si="21"/>
        <v>11</v>
      </c>
      <c r="G311" s="27"/>
      <c r="H311" s="28" t="str">
        <f>CONCATENATE(SUMIF($E$6:$E311,$E311,$K$6:$K$370)," / ",SUMIF($E$6:$E$370,$E311,$K$6:$K$370))</f>
        <v>0 / 0</v>
      </c>
      <c r="I311" s="28" t="str">
        <f>CONCATENATE(SUMIF($F$6:$F311,$F311,$K$6:$K$370)," / ",SUMIF($F$6:$F$370,$F311,$K$6:$K$370))</f>
        <v>0 / 0</v>
      </c>
      <c r="J311" s="28" t="str">
        <f>CONCATENATE(SUM($K$6:$K311)," / ",SUM($K$6:$K$370))</f>
        <v>651,895 / 651,895</v>
      </c>
      <c r="K311" s="244">
        <v>0</v>
      </c>
      <c r="L311" s="28"/>
      <c r="M311" s="28" t="str">
        <f>CONCATENATE(SUMIF($E$6:$E311,$E311,$P$6:$P$370)," / ",SUMIF($E$6:$E$370,$E311,$P$6:$P$370))</f>
        <v>0 / 0</v>
      </c>
      <c r="N311" s="28" t="str">
        <f ca="1">CONCATENATE(SUMIF($F$6:$F311,$F311,$P311)," / ",SUMIF($F$6:$F$370,$F311,$P$6:$P$370))</f>
        <v>0 / 0</v>
      </c>
      <c r="O311" s="28" t="str">
        <f>CONCATENATE(SUM($P$6:$P311)," / ",SUM($P$6:$P675))</f>
        <v>528 / 528</v>
      </c>
      <c r="P311" s="244">
        <v>0</v>
      </c>
      <c r="Q311" s="28"/>
      <c r="R311" s="245">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399">
        <v>42676</v>
      </c>
      <c r="C312" s="35" t="str">
        <f t="shared" si="19"/>
        <v>Mercredi</v>
      </c>
      <c r="D312" s="35">
        <f t="shared" si="22"/>
        <v>307</v>
      </c>
      <c r="E312" s="124">
        <f t="shared" si="20"/>
        <v>45</v>
      </c>
      <c r="F312" s="124">
        <f t="shared" si="21"/>
        <v>11</v>
      </c>
      <c r="G312" s="27"/>
      <c r="H312" s="28" t="str">
        <f>CONCATENATE(SUMIF($E$6:$E312,$E312,$K$6:$K$370)," / ",SUMIF($E$6:$E$370,$E312,$K$6:$K$370))</f>
        <v>0 / 0</v>
      </c>
      <c r="I312" s="28" t="str">
        <f>CONCATENATE(SUMIF($F$6:$F312,$F312,$K$6:$K$370)," / ",SUMIF($F$6:$F$370,$F312,$K$6:$K$370))</f>
        <v>0 / 0</v>
      </c>
      <c r="J312" s="28" t="str">
        <f>CONCATENATE(SUM($K$6:$K312)," / ",SUM($K$6:$K$370))</f>
        <v>651,895 / 651,895</v>
      </c>
      <c r="K312" s="244">
        <v>0</v>
      </c>
      <c r="L312" s="28"/>
      <c r="M312" s="28" t="str">
        <f>CONCATENATE(SUMIF($E$6:$E312,$E312,$P$6:$P$370)," / ",SUMIF($E$6:$E$370,$E312,$P$6:$P$370))</f>
        <v>0 / 0</v>
      </c>
      <c r="N312" s="28" t="str">
        <f ca="1">CONCATENATE(SUMIF($F$6:$F312,$F312,$P312)," / ",SUMIF($F$6:$F$370,$F312,$P$6:$P$370))</f>
        <v>0 / 0</v>
      </c>
      <c r="O312" s="28" t="str">
        <f>CONCATENATE(SUM($P$6:$P312)," / ",SUM($P$6:$P676))</f>
        <v>528 / 528</v>
      </c>
      <c r="P312" s="244">
        <v>0</v>
      </c>
      <c r="Q312" s="28"/>
      <c r="R312" s="245">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399">
        <v>42677</v>
      </c>
      <c r="C313" s="35" t="str">
        <f t="shared" si="19"/>
        <v>Jeudi</v>
      </c>
      <c r="D313" s="35">
        <f t="shared" si="22"/>
        <v>308</v>
      </c>
      <c r="E313" s="124">
        <f t="shared" si="20"/>
        <v>45</v>
      </c>
      <c r="F313" s="124">
        <f t="shared" si="21"/>
        <v>11</v>
      </c>
      <c r="G313" s="27"/>
      <c r="H313" s="28" t="str">
        <f>CONCATENATE(SUMIF($E$6:$E313,$E313,$K$6:$K$370)," / ",SUMIF($E$6:$E$370,$E313,$K$6:$K$370))</f>
        <v>0 / 0</v>
      </c>
      <c r="I313" s="28" t="str">
        <f>CONCATENATE(SUMIF($F$6:$F313,$F313,$K$6:$K$370)," / ",SUMIF($F$6:$F$370,$F313,$K$6:$K$370))</f>
        <v>0 / 0</v>
      </c>
      <c r="J313" s="28" t="str">
        <f>CONCATENATE(SUM($K$6:$K313)," / ",SUM($K$6:$K$370))</f>
        <v>651,895 / 651,895</v>
      </c>
      <c r="K313" s="244">
        <v>0</v>
      </c>
      <c r="L313" s="28"/>
      <c r="M313" s="28" t="str">
        <f>CONCATENATE(SUMIF($E$6:$E313,$E313,$P$6:$P$370)," / ",SUMIF($E$6:$E$370,$E313,$P$6:$P$370))</f>
        <v>0 / 0</v>
      </c>
      <c r="N313" s="28" t="str">
        <f ca="1">CONCATENATE(SUMIF($F$6:$F313,$F313,$P313)," / ",SUMIF($F$6:$F$370,$F313,$P$6:$P$370))</f>
        <v>0 / 0</v>
      </c>
      <c r="O313" s="28" t="str">
        <f>CONCATENATE(SUM($P$6:$P313)," / ",SUM($P$6:$P677))</f>
        <v>528 / 528</v>
      </c>
      <c r="P313" s="244">
        <v>0</v>
      </c>
      <c r="Q313" s="28"/>
      <c r="R313" s="245">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399">
        <v>42678</v>
      </c>
      <c r="C314" s="35" t="str">
        <f t="shared" si="19"/>
        <v>Vendredi</v>
      </c>
      <c r="D314" s="35">
        <f t="shared" si="22"/>
        <v>309</v>
      </c>
      <c r="E314" s="124">
        <f t="shared" si="20"/>
        <v>45</v>
      </c>
      <c r="F314" s="124">
        <f t="shared" si="21"/>
        <v>11</v>
      </c>
      <c r="G314" s="27"/>
      <c r="H314" s="28" t="str">
        <f>CONCATENATE(SUMIF($E$6:$E314,$E314,$K$6:$K$370)," / ",SUMIF($E$6:$E$370,$E314,$K$6:$K$370))</f>
        <v>0 / 0</v>
      </c>
      <c r="I314" s="28" t="str">
        <f>CONCATENATE(SUMIF($F$6:$F314,$F314,$K$6:$K$370)," / ",SUMIF($F$6:$F$370,$F314,$K$6:$K$370))</f>
        <v>0 / 0</v>
      </c>
      <c r="J314" s="28" t="str">
        <f>CONCATENATE(SUM($K$6:$K314)," / ",SUM($K$6:$K$370))</f>
        <v>651,895 / 651,895</v>
      </c>
      <c r="K314" s="244">
        <v>0</v>
      </c>
      <c r="L314" s="28"/>
      <c r="M314" s="28" t="str">
        <f>CONCATENATE(SUMIF($E$6:$E314,$E314,$P$6:$P$370)," / ",SUMIF($E$6:$E$370,$E314,$P$6:$P$370))</f>
        <v>0 / 0</v>
      </c>
      <c r="N314" s="28" t="str">
        <f ca="1">CONCATENATE(SUMIF($F$6:$F314,$F314,$P314)," / ",SUMIF($F$6:$F$370,$F314,$P$6:$P$370))</f>
        <v>0 / 0</v>
      </c>
      <c r="O314" s="28" t="str">
        <f>CONCATENATE(SUM($P$6:$P314)," / ",SUM($P$6:$P678))</f>
        <v>528 / 528</v>
      </c>
      <c r="P314" s="244">
        <v>0</v>
      </c>
      <c r="Q314" s="28"/>
      <c r="R314" s="245">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399">
        <v>42679</v>
      </c>
      <c r="C315" s="35" t="str">
        <f t="shared" si="19"/>
        <v>Samedi</v>
      </c>
      <c r="D315" s="35">
        <f t="shared" si="22"/>
        <v>310</v>
      </c>
      <c r="E315" s="124">
        <f t="shared" si="20"/>
        <v>45</v>
      </c>
      <c r="F315" s="124">
        <f t="shared" si="21"/>
        <v>11</v>
      </c>
      <c r="G315" s="27"/>
      <c r="H315" s="28" t="str">
        <f>CONCATENATE(SUMIF($E$6:$E315,$E315,$K$6:$K$370)," / ",SUMIF($E$6:$E$370,$E315,$K$6:$K$370))</f>
        <v>0 / 0</v>
      </c>
      <c r="I315" s="28" t="str">
        <f>CONCATENATE(SUMIF($F$6:$F315,$F315,$K$6:$K$370)," / ",SUMIF($F$6:$F$370,$F315,$K$6:$K$370))</f>
        <v>0 / 0</v>
      </c>
      <c r="J315" s="28" t="str">
        <f>CONCATENATE(SUM($K$6:$K315)," / ",SUM($K$6:$K$370))</f>
        <v>651,895 / 651,895</v>
      </c>
      <c r="K315" s="244">
        <v>0</v>
      </c>
      <c r="L315" s="28"/>
      <c r="M315" s="28" t="str">
        <f>CONCATENATE(SUMIF($E$6:$E315,$E315,$P$6:$P$370)," / ",SUMIF($E$6:$E$370,$E315,$P$6:$P$370))</f>
        <v>0 / 0</v>
      </c>
      <c r="N315" s="28" t="str">
        <f ca="1">CONCATENATE(SUMIF($F$6:$F315,$F315,$P315)," / ",SUMIF($F$6:$F$370,$F315,$P$6:$P$370))</f>
        <v>0 / 0</v>
      </c>
      <c r="O315" s="28" t="str">
        <f>CONCATENATE(SUM($P$6:$P315)," / ",SUM($P$6:$P679))</f>
        <v>528 / 528</v>
      </c>
      <c r="P315" s="244">
        <v>0</v>
      </c>
      <c r="Q315" s="28"/>
      <c r="R315" s="245">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399">
        <v>42680</v>
      </c>
      <c r="C316" s="35" t="str">
        <f t="shared" si="19"/>
        <v>Dimanche</v>
      </c>
      <c r="D316" s="35">
        <f t="shared" si="22"/>
        <v>311</v>
      </c>
      <c r="E316" s="124">
        <f t="shared" si="20"/>
        <v>46</v>
      </c>
      <c r="F316" s="124">
        <f t="shared" si="21"/>
        <v>11</v>
      </c>
      <c r="G316" s="27"/>
      <c r="H316" s="28" t="str">
        <f>CONCATENATE(SUMIF($E$6:$E316,$E316,$K$6:$K$370)," / ",SUMIF($E$6:$E$370,$E316,$K$6:$K$370))</f>
        <v>0 / 0</v>
      </c>
      <c r="I316" s="28" t="str">
        <f>CONCATENATE(SUMIF($F$6:$F316,$F316,$K$6:$K$370)," / ",SUMIF($F$6:$F$370,$F316,$K$6:$K$370))</f>
        <v>0 / 0</v>
      </c>
      <c r="J316" s="28" t="str">
        <f>CONCATENATE(SUM($K$6:$K316)," / ",SUM($K$6:$K$370))</f>
        <v>651,895 / 651,895</v>
      </c>
      <c r="K316" s="244">
        <v>0</v>
      </c>
      <c r="L316" s="28"/>
      <c r="M316" s="28" t="str">
        <f>CONCATENATE(SUMIF($E$6:$E316,$E316,$P$6:$P$370)," / ",SUMIF($E$6:$E$370,$E316,$P$6:$P$370))</f>
        <v>0 / 0</v>
      </c>
      <c r="N316" s="28" t="str">
        <f ca="1">CONCATENATE(SUMIF($F$6:$F316,$F316,$P316)," / ",SUMIF($F$6:$F$370,$F316,$P$6:$P$370))</f>
        <v>0 / 0</v>
      </c>
      <c r="O316" s="28" t="str">
        <f>CONCATENATE(SUM($P$6:$P316)," / ",SUM($P$6:$P680))</f>
        <v>528 / 528</v>
      </c>
      <c r="P316" s="244">
        <v>0</v>
      </c>
      <c r="Q316" s="28"/>
      <c r="R316" s="245">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399">
        <v>42681</v>
      </c>
      <c r="C317" s="35" t="str">
        <f t="shared" si="19"/>
        <v>Lundi</v>
      </c>
      <c r="D317" s="35">
        <f t="shared" si="22"/>
        <v>312</v>
      </c>
      <c r="E317" s="124">
        <f t="shared" si="20"/>
        <v>46</v>
      </c>
      <c r="F317" s="124">
        <f t="shared" si="21"/>
        <v>11</v>
      </c>
      <c r="G317" s="27"/>
      <c r="H317" s="28" t="str">
        <f>CONCATENATE(SUMIF($E$6:$E317,$E317,$K$6:$K$370)," / ",SUMIF($E$6:$E$370,$E317,$K$6:$K$370))</f>
        <v>0 / 0</v>
      </c>
      <c r="I317" s="28" t="str">
        <f>CONCATENATE(SUMIF($F$6:$F317,$F317,$K$6:$K$370)," / ",SUMIF($F$6:$F$370,$F317,$K$6:$K$370))</f>
        <v>0 / 0</v>
      </c>
      <c r="J317" s="28" t="str">
        <f>CONCATENATE(SUM($K$6:$K317)," / ",SUM($K$6:$K$370))</f>
        <v>651,895 / 651,895</v>
      </c>
      <c r="K317" s="244">
        <v>0</v>
      </c>
      <c r="L317" s="28"/>
      <c r="M317" s="28" t="str">
        <f>CONCATENATE(SUMIF($E$6:$E317,$E317,$P$6:$P$370)," / ",SUMIF($E$6:$E$370,$E317,$P$6:$P$370))</f>
        <v>0 / 0</v>
      </c>
      <c r="N317" s="28" t="str">
        <f ca="1">CONCATENATE(SUMIF($F$6:$F317,$F317,$P317)," / ",SUMIF($F$6:$F$370,$F317,$P$6:$P$370))</f>
        <v>0 / 0</v>
      </c>
      <c r="O317" s="28" t="str">
        <f>CONCATENATE(SUM($P$6:$P317)," / ",SUM($P$6:$P681))</f>
        <v>528 / 528</v>
      </c>
      <c r="P317" s="244">
        <v>0</v>
      </c>
      <c r="Q317" s="28"/>
      <c r="R317" s="245">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399">
        <v>42682</v>
      </c>
      <c r="C318" s="35" t="str">
        <f t="shared" si="19"/>
        <v>Mardi</v>
      </c>
      <c r="D318" s="35">
        <f t="shared" si="22"/>
        <v>313</v>
      </c>
      <c r="E318" s="124">
        <f t="shared" si="20"/>
        <v>46</v>
      </c>
      <c r="F318" s="124">
        <f t="shared" si="21"/>
        <v>11</v>
      </c>
      <c r="G318" s="27"/>
      <c r="H318" s="28" t="str">
        <f>CONCATENATE(SUMIF($E$6:$E318,$E318,$K$6:$K$370)," / ",SUMIF($E$6:$E$370,$E318,$K$6:$K$370))</f>
        <v>0 / 0</v>
      </c>
      <c r="I318" s="28" t="str">
        <f>CONCATENATE(SUMIF($F$6:$F318,$F318,$K$6:$K$370)," / ",SUMIF($F$6:$F$370,$F318,$K$6:$K$370))</f>
        <v>0 / 0</v>
      </c>
      <c r="J318" s="28" t="str">
        <f>CONCATENATE(SUM($K$6:$K318)," / ",SUM($K$6:$K$370))</f>
        <v>651,895 / 651,895</v>
      </c>
      <c r="K318" s="244">
        <v>0</v>
      </c>
      <c r="L318" s="28"/>
      <c r="M318" s="28" t="str">
        <f>CONCATENATE(SUMIF($E$6:$E318,$E318,$P$6:$P$370)," / ",SUMIF($E$6:$E$370,$E318,$P$6:$P$370))</f>
        <v>0 / 0</v>
      </c>
      <c r="N318" s="28" t="str">
        <f ca="1">CONCATENATE(SUMIF($F$6:$F318,$F318,$P318)," / ",SUMIF($F$6:$F$370,$F318,$P$6:$P$370))</f>
        <v>0 / 0</v>
      </c>
      <c r="O318" s="28" t="str">
        <f>CONCATENATE(SUM($P$6:$P318)," / ",SUM($P$6:$P682))</f>
        <v>528 / 528</v>
      </c>
      <c r="P318" s="244">
        <v>0</v>
      </c>
      <c r="Q318" s="28"/>
      <c r="R318" s="245">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399">
        <v>42683</v>
      </c>
      <c r="C319" s="35" t="str">
        <f t="shared" si="19"/>
        <v>Mercredi</v>
      </c>
      <c r="D319" s="35">
        <f t="shared" si="22"/>
        <v>314</v>
      </c>
      <c r="E319" s="124">
        <f t="shared" si="20"/>
        <v>46</v>
      </c>
      <c r="F319" s="124">
        <f t="shared" si="21"/>
        <v>11</v>
      </c>
      <c r="G319" s="27"/>
      <c r="H319" s="28" t="str">
        <f>CONCATENATE(SUMIF($E$6:$E319,$E319,$K$6:$K$370)," / ",SUMIF($E$6:$E$370,$E319,$K$6:$K$370))</f>
        <v>0 / 0</v>
      </c>
      <c r="I319" s="28" t="str">
        <f>CONCATENATE(SUMIF($F$6:$F319,$F319,$K$6:$K$370)," / ",SUMIF($F$6:$F$370,$F319,$K$6:$K$370))</f>
        <v>0 / 0</v>
      </c>
      <c r="J319" s="28" t="str">
        <f>CONCATENATE(SUM($K$6:$K319)," / ",SUM($K$6:$K$370))</f>
        <v>651,895 / 651,895</v>
      </c>
      <c r="K319" s="244">
        <v>0</v>
      </c>
      <c r="L319" s="28"/>
      <c r="M319" s="28" t="str">
        <f>CONCATENATE(SUMIF($E$6:$E319,$E319,$P$6:$P$370)," / ",SUMIF($E$6:$E$370,$E319,$P$6:$P$370))</f>
        <v>0 / 0</v>
      </c>
      <c r="N319" s="28" t="str">
        <f ca="1">CONCATENATE(SUMIF($F$6:$F319,$F319,$P319)," / ",SUMIF($F$6:$F$370,$F319,$P$6:$P$370))</f>
        <v>0 / 0</v>
      </c>
      <c r="O319" s="28" t="str">
        <f>CONCATENATE(SUM($P$6:$P319)," / ",SUM($P$6:$P683))</f>
        <v>528 / 528</v>
      </c>
      <c r="P319" s="244">
        <v>0</v>
      </c>
      <c r="Q319" s="28"/>
      <c r="R319" s="245">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399">
        <v>42684</v>
      </c>
      <c r="C320" s="35" t="str">
        <f t="shared" si="19"/>
        <v>Jeudi</v>
      </c>
      <c r="D320" s="35">
        <f t="shared" si="22"/>
        <v>315</v>
      </c>
      <c r="E320" s="124">
        <f t="shared" si="20"/>
        <v>46</v>
      </c>
      <c r="F320" s="124">
        <f t="shared" si="21"/>
        <v>11</v>
      </c>
      <c r="G320" s="27"/>
      <c r="H320" s="28" t="str">
        <f>CONCATENATE(SUMIF($E$6:$E320,$E320,$K$6:$K$370)," / ",SUMIF($E$6:$E$370,$E320,$K$6:$K$370))</f>
        <v>0 / 0</v>
      </c>
      <c r="I320" s="28" t="str">
        <f>CONCATENATE(SUMIF($F$6:$F320,$F320,$K$6:$K$370)," / ",SUMIF($F$6:$F$370,$F320,$K$6:$K$370))</f>
        <v>0 / 0</v>
      </c>
      <c r="J320" s="28" t="str">
        <f>CONCATENATE(SUM($K$6:$K320)," / ",SUM($K$6:$K$370))</f>
        <v>651,895 / 651,895</v>
      </c>
      <c r="K320" s="244">
        <v>0</v>
      </c>
      <c r="L320" s="28"/>
      <c r="M320" s="28" t="str">
        <f>CONCATENATE(SUMIF($E$6:$E320,$E320,$P$6:$P$370)," / ",SUMIF($E$6:$E$370,$E320,$P$6:$P$370))</f>
        <v>0 / 0</v>
      </c>
      <c r="N320" s="28" t="str">
        <f ca="1">CONCATENATE(SUMIF($F$6:$F320,$F320,$P320)," / ",SUMIF($F$6:$F$370,$F320,$P$6:$P$370))</f>
        <v>0 / 0</v>
      </c>
      <c r="O320" s="28" t="str">
        <f>CONCATENATE(SUM($P$6:$P320)," / ",SUM($P$6:$P684))</f>
        <v>528 / 528</v>
      </c>
      <c r="P320" s="244">
        <v>0</v>
      </c>
      <c r="Q320" s="28"/>
      <c r="R320" s="245">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399">
        <v>42685</v>
      </c>
      <c r="C321" s="35" t="str">
        <f t="shared" si="19"/>
        <v>Vendredi</v>
      </c>
      <c r="D321" s="35">
        <f t="shared" si="22"/>
        <v>316</v>
      </c>
      <c r="E321" s="124">
        <f t="shared" si="20"/>
        <v>46</v>
      </c>
      <c r="F321" s="124">
        <f t="shared" si="21"/>
        <v>11</v>
      </c>
      <c r="G321" s="27"/>
      <c r="H321" s="28" t="str">
        <f>CONCATENATE(SUMIF($E$6:$E321,$E321,$K$6:$K$370)," / ",SUMIF($E$6:$E$370,$E321,$K$6:$K$370))</f>
        <v>0 / 0</v>
      </c>
      <c r="I321" s="28" t="str">
        <f>CONCATENATE(SUMIF($F$6:$F321,$F321,$K$6:$K$370)," / ",SUMIF($F$6:$F$370,$F321,$K$6:$K$370))</f>
        <v>0 / 0</v>
      </c>
      <c r="J321" s="28" t="str">
        <f>CONCATENATE(SUM($K$6:$K321)," / ",SUM($K$6:$K$370))</f>
        <v>651,895 / 651,895</v>
      </c>
      <c r="K321" s="244">
        <v>0</v>
      </c>
      <c r="L321" s="28"/>
      <c r="M321" s="28" t="str">
        <f>CONCATENATE(SUMIF($E$6:$E321,$E321,$P$6:$P$370)," / ",SUMIF($E$6:$E$370,$E321,$P$6:$P$370))</f>
        <v>0 / 0</v>
      </c>
      <c r="N321" s="28" t="str">
        <f ca="1">CONCATENATE(SUMIF($F$6:$F321,$F321,$P321)," / ",SUMIF($F$6:$F$370,$F321,$P$6:$P$370))</f>
        <v>0 / 0</v>
      </c>
      <c r="O321" s="28" t="str">
        <f>CONCATENATE(SUM($P$6:$P321)," / ",SUM($P$6:$P685))</f>
        <v>528 / 528</v>
      </c>
      <c r="P321" s="244">
        <v>0</v>
      </c>
      <c r="Q321" s="28"/>
      <c r="R321" s="245">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399">
        <v>42686</v>
      </c>
      <c r="C322" s="35" t="str">
        <f t="shared" si="19"/>
        <v>Samedi</v>
      </c>
      <c r="D322" s="35">
        <f t="shared" si="22"/>
        <v>317</v>
      </c>
      <c r="E322" s="124">
        <f t="shared" si="20"/>
        <v>46</v>
      </c>
      <c r="F322" s="124">
        <f t="shared" si="21"/>
        <v>11</v>
      </c>
      <c r="G322" s="27"/>
      <c r="H322" s="28" t="str">
        <f>CONCATENATE(SUMIF($E$6:$E322,$E322,$K$6:$K$370)," / ",SUMIF($E$6:$E$370,$E322,$K$6:$K$370))</f>
        <v>0 / 0</v>
      </c>
      <c r="I322" s="28" t="str">
        <f>CONCATENATE(SUMIF($F$6:$F322,$F322,$K$6:$K$370)," / ",SUMIF($F$6:$F$370,$F322,$K$6:$K$370))</f>
        <v>0 / 0</v>
      </c>
      <c r="J322" s="28" t="str">
        <f>CONCATENATE(SUM($K$6:$K322)," / ",SUM($K$6:$K$370))</f>
        <v>651,895 / 651,895</v>
      </c>
      <c r="K322" s="244">
        <v>0</v>
      </c>
      <c r="L322" s="28"/>
      <c r="M322" s="28" t="str">
        <f>CONCATENATE(SUMIF($E$6:$E322,$E322,$P$6:$P$370)," / ",SUMIF($E$6:$E$370,$E322,$P$6:$P$370))</f>
        <v>0 / 0</v>
      </c>
      <c r="N322" s="28" t="str">
        <f ca="1">CONCATENATE(SUMIF($F$6:$F322,$F322,$P322)," / ",SUMIF($F$6:$F$370,$F322,$P$6:$P$370))</f>
        <v>0 / 0</v>
      </c>
      <c r="O322" s="28" t="str">
        <f>CONCATENATE(SUM($P$6:$P322)," / ",SUM($P$6:$P686))</f>
        <v>528 / 528</v>
      </c>
      <c r="P322" s="244">
        <v>0</v>
      </c>
      <c r="Q322" s="28"/>
      <c r="R322" s="245">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399">
        <v>42687</v>
      </c>
      <c r="C323" s="35" t="str">
        <f t="shared" si="19"/>
        <v>Dimanche</v>
      </c>
      <c r="D323" s="35">
        <f t="shared" si="22"/>
        <v>318</v>
      </c>
      <c r="E323" s="124">
        <f t="shared" si="20"/>
        <v>47</v>
      </c>
      <c r="F323" s="124">
        <f t="shared" si="21"/>
        <v>11</v>
      </c>
      <c r="G323" s="27"/>
      <c r="H323" s="28" t="str">
        <f>CONCATENATE(SUMIF($E$6:$E323,$E323,$K$6:$K$370)," / ",SUMIF($E$6:$E$370,$E323,$K$6:$K$370))</f>
        <v>0 / 0</v>
      </c>
      <c r="I323" s="28" t="str">
        <f>CONCATENATE(SUMIF($F$6:$F323,$F323,$K$6:$K$370)," / ",SUMIF($F$6:$F$370,$F323,$K$6:$K$370))</f>
        <v>0 / 0</v>
      </c>
      <c r="J323" s="28" t="str">
        <f>CONCATENATE(SUM($K$6:$K323)," / ",SUM($K$6:$K$370))</f>
        <v>651,895 / 651,895</v>
      </c>
      <c r="K323" s="244">
        <v>0</v>
      </c>
      <c r="L323" s="28"/>
      <c r="M323" s="28" t="str">
        <f>CONCATENATE(SUMIF($E$6:$E323,$E323,$P$6:$P$370)," / ",SUMIF($E$6:$E$370,$E323,$P$6:$P$370))</f>
        <v>0 / 0</v>
      </c>
      <c r="N323" s="28" t="str">
        <f ca="1">CONCATENATE(SUMIF($F$6:$F323,$F323,$P323)," / ",SUMIF($F$6:$F$370,$F323,$P$6:$P$370))</f>
        <v>0 / 0</v>
      </c>
      <c r="O323" s="28" t="str">
        <f>CONCATENATE(SUM($P$6:$P323)," / ",SUM($P$6:$P687))</f>
        <v>528 / 528</v>
      </c>
      <c r="P323" s="244">
        <v>0</v>
      </c>
      <c r="Q323" s="28"/>
      <c r="R323" s="245">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399">
        <v>42688</v>
      </c>
      <c r="C324" s="35" t="str">
        <f t="shared" si="19"/>
        <v>Lundi</v>
      </c>
      <c r="D324" s="35">
        <f t="shared" si="22"/>
        <v>319</v>
      </c>
      <c r="E324" s="124">
        <f t="shared" si="20"/>
        <v>47</v>
      </c>
      <c r="F324" s="124">
        <f t="shared" si="21"/>
        <v>11</v>
      </c>
      <c r="G324" s="27"/>
      <c r="H324" s="28" t="str">
        <f>CONCATENATE(SUMIF($E$6:$E324,$E324,$K$6:$K$370)," / ",SUMIF($E$6:$E$370,$E324,$K$6:$K$370))</f>
        <v>0 / 0</v>
      </c>
      <c r="I324" s="28" t="str">
        <f>CONCATENATE(SUMIF($F$6:$F324,$F324,$K$6:$K$370)," / ",SUMIF($F$6:$F$370,$F324,$K$6:$K$370))</f>
        <v>0 / 0</v>
      </c>
      <c r="J324" s="28" t="str">
        <f>CONCATENATE(SUM($K$6:$K324)," / ",SUM($K$6:$K$370))</f>
        <v>651,895 / 651,895</v>
      </c>
      <c r="K324" s="244">
        <v>0</v>
      </c>
      <c r="L324" s="28"/>
      <c r="M324" s="28" t="str">
        <f>CONCATENATE(SUMIF($E$6:$E324,$E324,$P$6:$P$370)," / ",SUMIF($E$6:$E$370,$E324,$P$6:$P$370))</f>
        <v>0 / 0</v>
      </c>
      <c r="N324" s="28" t="str">
        <f ca="1">CONCATENATE(SUMIF($F$6:$F324,$F324,$P324)," / ",SUMIF($F$6:$F$370,$F324,$P$6:$P$370))</f>
        <v>0 / 0</v>
      </c>
      <c r="O324" s="28" t="str">
        <f>CONCATENATE(SUM($P$6:$P324)," / ",SUM($P$6:$P688))</f>
        <v>528 / 528</v>
      </c>
      <c r="P324" s="244">
        <v>0</v>
      </c>
      <c r="Q324" s="28"/>
      <c r="R324" s="245">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399">
        <v>42689</v>
      </c>
      <c r="C325" s="35" t="str">
        <f t="shared" si="19"/>
        <v>Mardi</v>
      </c>
      <c r="D325" s="35">
        <f t="shared" si="22"/>
        <v>320</v>
      </c>
      <c r="E325" s="124">
        <f t="shared" si="20"/>
        <v>47</v>
      </c>
      <c r="F325" s="124">
        <f t="shared" si="21"/>
        <v>11</v>
      </c>
      <c r="G325" s="27"/>
      <c r="H325" s="28" t="str">
        <f>CONCATENATE(SUMIF($E$6:$E325,$E325,$K$6:$K$370)," / ",SUMIF($E$6:$E$370,$E325,$K$6:$K$370))</f>
        <v>0 / 0</v>
      </c>
      <c r="I325" s="28" t="str">
        <f>CONCATENATE(SUMIF($F$6:$F325,$F325,$K$6:$K$370)," / ",SUMIF($F$6:$F$370,$F325,$K$6:$K$370))</f>
        <v>0 / 0</v>
      </c>
      <c r="J325" s="28" t="str">
        <f>CONCATENATE(SUM($K$6:$K325)," / ",SUM($K$6:$K$370))</f>
        <v>651,895 / 651,895</v>
      </c>
      <c r="K325" s="244">
        <v>0</v>
      </c>
      <c r="L325" s="28"/>
      <c r="M325" s="28" t="str">
        <f>CONCATENATE(SUMIF($E$6:$E325,$E325,$P$6:$P$370)," / ",SUMIF($E$6:$E$370,$E325,$P$6:$P$370))</f>
        <v>0 / 0</v>
      </c>
      <c r="N325" s="28" t="str">
        <f ca="1">CONCATENATE(SUMIF($F$6:$F325,$F325,$P325)," / ",SUMIF($F$6:$F$370,$F325,$P$6:$P$370))</f>
        <v>0 / 0</v>
      </c>
      <c r="O325" s="28" t="str">
        <f>CONCATENATE(SUM($P$6:$P325)," / ",SUM($P$6:$P689))</f>
        <v>528 / 528</v>
      </c>
      <c r="P325" s="244">
        <v>0</v>
      </c>
      <c r="Q325" s="28"/>
      <c r="R325" s="245">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399">
        <v>42690</v>
      </c>
      <c r="C326" s="35" t="str">
        <f t="shared" si="19"/>
        <v>Mercredi</v>
      </c>
      <c r="D326" s="35">
        <f t="shared" si="22"/>
        <v>321</v>
      </c>
      <c r="E326" s="124">
        <f t="shared" si="20"/>
        <v>47</v>
      </c>
      <c r="F326" s="124">
        <f t="shared" si="21"/>
        <v>11</v>
      </c>
      <c r="G326" s="27"/>
      <c r="H326" s="28" t="str">
        <f>CONCATENATE(SUMIF($E$6:$E326,$E326,$K$6:$K$370)," / ",SUMIF($E$6:$E$370,$E326,$K$6:$K$370))</f>
        <v>0 / 0</v>
      </c>
      <c r="I326" s="28" t="str">
        <f>CONCATENATE(SUMIF($F$6:$F326,$F326,$K$6:$K$370)," / ",SUMIF($F$6:$F$370,$F326,$K$6:$K$370))</f>
        <v>0 / 0</v>
      </c>
      <c r="J326" s="28" t="str">
        <f>CONCATENATE(SUM($K$6:$K326)," / ",SUM($K$6:$K$370))</f>
        <v>651,895 / 651,895</v>
      </c>
      <c r="K326" s="244">
        <v>0</v>
      </c>
      <c r="L326" s="28"/>
      <c r="M326" s="28" t="str">
        <f>CONCATENATE(SUMIF($E$6:$E326,$E326,$P$6:$P$370)," / ",SUMIF($E$6:$E$370,$E326,$P$6:$P$370))</f>
        <v>0 / 0</v>
      </c>
      <c r="N326" s="28" t="str">
        <f ca="1">CONCATENATE(SUMIF($F$6:$F326,$F326,$P326)," / ",SUMIF($F$6:$F$370,$F326,$P$6:$P$370))</f>
        <v>0 / 0</v>
      </c>
      <c r="O326" s="28" t="str">
        <f>CONCATENATE(SUM($P$6:$P326)," / ",SUM($P$6:$P690))</f>
        <v>528 / 528</v>
      </c>
      <c r="P326" s="244">
        <v>0</v>
      </c>
      <c r="Q326" s="28"/>
      <c r="R326" s="245">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399">
        <v>42691</v>
      </c>
      <c r="C327" s="35" t="str">
        <f t="shared" ref="C327:C370" si="23">IF(EXACT(WEEKDAY(B327),1),"Dimanche",IF(EXACT(WEEKDAY(B327),2),"Lundi",IF(EXACT(WEEKDAY(B327),3),"Mardi",IF(EXACT(WEEKDAY(B327),4),"Mercredi",IF(EXACT(WEEKDAY(B327),5),"Jeudi",IF(EXACT(WEEKDAY(B327),6),"Vendredi",IF(EXACT(WEEKDAY(B327),7),"Samedi","Erreur de date")))))))</f>
        <v>Jeudi</v>
      </c>
      <c r="D327" s="35">
        <f t="shared" si="22"/>
        <v>322</v>
      </c>
      <c r="E327" s="124">
        <f t="shared" ref="E327:E370" si="24">WEEKNUM($B327)</f>
        <v>47</v>
      </c>
      <c r="F327" s="124">
        <f t="shared" ref="F327:F351" si="25">MONTH(B327)</f>
        <v>11</v>
      </c>
      <c r="G327" s="27"/>
      <c r="H327" s="28" t="str">
        <f>CONCATENATE(SUMIF($E$6:$E327,$E327,$K$6:$K$370)," / ",SUMIF($E$6:$E$370,$E327,$K$6:$K$370))</f>
        <v>0 / 0</v>
      </c>
      <c r="I327" s="28" t="str">
        <f>CONCATENATE(SUMIF($F$6:$F327,$F327,$K$6:$K$370)," / ",SUMIF($F$6:$F$370,$F327,$K$6:$K$370))</f>
        <v>0 / 0</v>
      </c>
      <c r="J327" s="28" t="str">
        <f>CONCATENATE(SUM($K$6:$K327)," / ",SUM($K$6:$K$370))</f>
        <v>651,895 / 651,895</v>
      </c>
      <c r="K327" s="244">
        <v>0</v>
      </c>
      <c r="L327" s="28"/>
      <c r="M327" s="28" t="str">
        <f>CONCATENATE(SUMIF($E$6:$E327,$E327,$P$6:$P$370)," / ",SUMIF($E$6:$E$370,$E327,$P$6:$P$370))</f>
        <v>0 / 0</v>
      </c>
      <c r="N327" s="28" t="str">
        <f ca="1">CONCATENATE(SUMIF($F$6:$F327,$F327,$P327)," / ",SUMIF($F$6:$F$370,$F327,$P$6:$P$370))</f>
        <v>0 / 0</v>
      </c>
      <c r="O327" s="28" t="str">
        <f>CONCATENATE(SUM($P$6:$P327)," / ",SUM($P$6:$P691))</f>
        <v>528 / 528</v>
      </c>
      <c r="P327" s="244">
        <v>0</v>
      </c>
      <c r="Q327" s="28"/>
      <c r="R327" s="245">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399">
        <v>42692</v>
      </c>
      <c r="C328" s="35" t="str">
        <f t="shared" si="23"/>
        <v>Vendredi</v>
      </c>
      <c r="D328" s="35">
        <f t="shared" ref="D328:D370" si="26">D327+1</f>
        <v>323</v>
      </c>
      <c r="E328" s="124">
        <f t="shared" si="24"/>
        <v>47</v>
      </c>
      <c r="F328" s="124">
        <f t="shared" si="25"/>
        <v>11</v>
      </c>
      <c r="G328" s="27"/>
      <c r="H328" s="28" t="str">
        <f>CONCATENATE(SUMIF($E$6:$E328,$E328,$K$6:$K$370)," / ",SUMIF($E$6:$E$370,$E328,$K$6:$K$370))</f>
        <v>0 / 0</v>
      </c>
      <c r="I328" s="28" t="str">
        <f>CONCATENATE(SUMIF($F$6:$F328,$F328,$K$6:$K$370)," / ",SUMIF($F$6:$F$370,$F328,$K$6:$K$370))</f>
        <v>0 / 0</v>
      </c>
      <c r="J328" s="28" t="str">
        <f>CONCATENATE(SUM($K$6:$K328)," / ",SUM($K$6:$K$370))</f>
        <v>651,895 / 651,895</v>
      </c>
      <c r="K328" s="244">
        <v>0</v>
      </c>
      <c r="L328" s="28"/>
      <c r="M328" s="28" t="str">
        <f>CONCATENATE(SUMIF($E$6:$E328,$E328,$P$6:$P$370)," / ",SUMIF($E$6:$E$370,$E328,$P$6:$P$370))</f>
        <v>0 / 0</v>
      </c>
      <c r="N328" s="28" t="str">
        <f ca="1">CONCATENATE(SUMIF($F$6:$F328,$F328,$P328)," / ",SUMIF($F$6:$F$370,$F328,$P$6:$P$370))</f>
        <v>0 / 0</v>
      </c>
      <c r="O328" s="28" t="str">
        <f>CONCATENATE(SUM($P$6:$P328)," / ",SUM($P$6:$P692))</f>
        <v>528 / 528</v>
      </c>
      <c r="P328" s="244">
        <v>0</v>
      </c>
      <c r="Q328" s="28"/>
      <c r="R328" s="245">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399">
        <v>42693</v>
      </c>
      <c r="C329" s="35" t="str">
        <f t="shared" si="23"/>
        <v>Samedi</v>
      </c>
      <c r="D329" s="35">
        <f t="shared" si="26"/>
        <v>324</v>
      </c>
      <c r="E329" s="124">
        <f t="shared" si="24"/>
        <v>47</v>
      </c>
      <c r="F329" s="124">
        <f t="shared" si="25"/>
        <v>11</v>
      </c>
      <c r="G329" s="27"/>
      <c r="H329" s="28" t="str">
        <f>CONCATENATE(SUMIF($E$6:$E329,$E329,$K$6:$K$370)," / ",SUMIF($E$6:$E$370,$E329,$K$6:$K$370))</f>
        <v>0 / 0</v>
      </c>
      <c r="I329" s="28" t="str">
        <f>CONCATENATE(SUMIF($F$6:$F329,$F329,$K$6:$K$370)," / ",SUMIF($F$6:$F$370,$F329,$K$6:$K$370))</f>
        <v>0 / 0</v>
      </c>
      <c r="J329" s="28" t="str">
        <f>CONCATENATE(SUM($K$6:$K329)," / ",SUM($K$6:$K$370))</f>
        <v>651,895 / 651,895</v>
      </c>
      <c r="K329" s="244">
        <v>0</v>
      </c>
      <c r="L329" s="28"/>
      <c r="M329" s="28" t="str">
        <f>CONCATENATE(SUMIF($E$6:$E329,$E329,$P$6:$P$370)," / ",SUMIF($E$6:$E$370,$E329,$P$6:$P$370))</f>
        <v>0 / 0</v>
      </c>
      <c r="N329" s="28" t="str">
        <f ca="1">CONCATENATE(SUMIF($F$6:$F329,$F329,$P329)," / ",SUMIF($F$6:$F$370,$F329,$P$6:$P$370))</f>
        <v>0 / 0</v>
      </c>
      <c r="O329" s="28" t="str">
        <f>CONCATENATE(SUM($P$6:$P329)," / ",SUM($P$6:$P693))</f>
        <v>528 / 528</v>
      </c>
      <c r="P329" s="244">
        <v>0</v>
      </c>
      <c r="Q329" s="28"/>
      <c r="R329" s="245">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399">
        <v>42694</v>
      </c>
      <c r="C330" s="35" t="str">
        <f t="shared" si="23"/>
        <v>Dimanche</v>
      </c>
      <c r="D330" s="35">
        <f t="shared" si="26"/>
        <v>325</v>
      </c>
      <c r="E330" s="124">
        <f t="shared" si="24"/>
        <v>48</v>
      </c>
      <c r="F330" s="124">
        <f t="shared" si="25"/>
        <v>11</v>
      </c>
      <c r="G330" s="27"/>
      <c r="H330" s="28" t="str">
        <f>CONCATENATE(SUMIF($E$6:$E330,$E330,$K$6:$K$370)," / ",SUMIF($E$6:$E$370,$E330,$K$6:$K$370))</f>
        <v>0 / 0</v>
      </c>
      <c r="I330" s="28" t="str">
        <f>CONCATENATE(SUMIF($F$6:$F330,$F330,$K$6:$K$370)," / ",SUMIF($F$6:$F$370,$F330,$K$6:$K$370))</f>
        <v>0 / 0</v>
      </c>
      <c r="J330" s="28" t="str">
        <f>CONCATENATE(SUM($K$6:$K330)," / ",SUM($K$6:$K$370))</f>
        <v>651,895 / 651,895</v>
      </c>
      <c r="K330" s="244">
        <v>0</v>
      </c>
      <c r="L330" s="28"/>
      <c r="M330" s="28" t="str">
        <f>CONCATENATE(SUMIF($E$6:$E330,$E330,$P$6:$P$370)," / ",SUMIF($E$6:$E$370,$E330,$P$6:$P$370))</f>
        <v>0 / 0</v>
      </c>
      <c r="N330" s="28" t="str">
        <f ca="1">CONCATENATE(SUMIF($F$6:$F330,$F330,$P330)," / ",SUMIF($F$6:$F$370,$F330,$P$6:$P$370))</f>
        <v>0 / 0</v>
      </c>
      <c r="O330" s="28" t="str">
        <f>CONCATENATE(SUM($P$6:$P330)," / ",SUM($P$6:$P694))</f>
        <v>528 / 528</v>
      </c>
      <c r="P330" s="244">
        <v>0</v>
      </c>
      <c r="Q330" s="28"/>
      <c r="R330" s="245">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399">
        <v>42695</v>
      </c>
      <c r="C331" s="35" t="str">
        <f t="shared" si="23"/>
        <v>Lundi</v>
      </c>
      <c r="D331" s="35">
        <f t="shared" si="26"/>
        <v>326</v>
      </c>
      <c r="E331" s="124">
        <f t="shared" si="24"/>
        <v>48</v>
      </c>
      <c r="F331" s="124">
        <f t="shared" si="25"/>
        <v>11</v>
      </c>
      <c r="G331" s="27"/>
      <c r="H331" s="28" t="str">
        <f>CONCATENATE(SUMIF($E$6:$E331,$E331,$K$6:$K$370)," / ",SUMIF($E$6:$E$370,$E331,$K$6:$K$370))</f>
        <v>0 / 0</v>
      </c>
      <c r="I331" s="28" t="str">
        <f>CONCATENATE(SUMIF($F$6:$F331,$F331,$K$6:$K$370)," / ",SUMIF($F$6:$F$370,$F331,$K$6:$K$370))</f>
        <v>0 / 0</v>
      </c>
      <c r="J331" s="28" t="str">
        <f>CONCATENATE(SUM($K$6:$K331)," / ",SUM($K$6:$K$370))</f>
        <v>651,895 / 651,895</v>
      </c>
      <c r="K331" s="244">
        <v>0</v>
      </c>
      <c r="L331" s="28"/>
      <c r="M331" s="28" t="str">
        <f>CONCATENATE(SUMIF($E$6:$E331,$E331,$P$6:$P$370)," / ",SUMIF($E$6:$E$370,$E331,$P$6:$P$370))</f>
        <v>0 / 0</v>
      </c>
      <c r="N331" s="28" t="str">
        <f ca="1">CONCATENATE(SUMIF($F$6:$F331,$F331,$P331)," / ",SUMIF($F$6:$F$370,$F331,$P$6:$P$370))</f>
        <v>0 / 0</v>
      </c>
      <c r="O331" s="28" t="str">
        <f>CONCATENATE(SUM($P$6:$P331)," / ",SUM($P$6:$P695))</f>
        <v>528 / 528</v>
      </c>
      <c r="P331" s="244">
        <v>0</v>
      </c>
      <c r="Q331" s="28"/>
      <c r="R331" s="245">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399">
        <v>42696</v>
      </c>
      <c r="C332" s="35" t="str">
        <f t="shared" si="23"/>
        <v>Mardi</v>
      </c>
      <c r="D332" s="35">
        <f t="shared" si="26"/>
        <v>327</v>
      </c>
      <c r="E332" s="124">
        <f t="shared" si="24"/>
        <v>48</v>
      </c>
      <c r="F332" s="124">
        <f t="shared" si="25"/>
        <v>11</v>
      </c>
      <c r="G332" s="27"/>
      <c r="H332" s="28" t="str">
        <f>CONCATENATE(SUMIF($E$6:$E332,$E332,$K$6:$K$370)," / ",SUMIF($E$6:$E$370,$E332,$K$6:$K$370))</f>
        <v>0 / 0</v>
      </c>
      <c r="I332" s="28" t="str">
        <f>CONCATENATE(SUMIF($F$6:$F332,$F332,$K$6:$K$370)," / ",SUMIF($F$6:$F$370,$F332,$K$6:$K$370))</f>
        <v>0 / 0</v>
      </c>
      <c r="J332" s="28" t="str">
        <f>CONCATENATE(SUM($K$6:$K332)," / ",SUM($K$6:$K$370))</f>
        <v>651,895 / 651,895</v>
      </c>
      <c r="K332" s="244">
        <v>0</v>
      </c>
      <c r="L332" s="28"/>
      <c r="M332" s="28" t="str">
        <f>CONCATENATE(SUMIF($E$6:$E332,$E332,$P$6:$P$370)," / ",SUMIF($E$6:$E$370,$E332,$P$6:$P$370))</f>
        <v>0 / 0</v>
      </c>
      <c r="N332" s="28" t="str">
        <f ca="1">CONCATENATE(SUMIF($F$6:$F332,$F332,$P332)," / ",SUMIF($F$6:$F$370,$F332,$P$6:$P$370))</f>
        <v>0 / 0</v>
      </c>
      <c r="O332" s="28" t="str">
        <f>CONCATENATE(SUM($P$6:$P332)," / ",SUM($P$6:$P696))</f>
        <v>528 / 528</v>
      </c>
      <c r="P332" s="244">
        <v>0</v>
      </c>
      <c r="Q332" s="28"/>
      <c r="R332" s="245">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399">
        <v>42697</v>
      </c>
      <c r="C333" s="35" t="str">
        <f t="shared" si="23"/>
        <v>Mercredi</v>
      </c>
      <c r="D333" s="35">
        <f t="shared" si="26"/>
        <v>328</v>
      </c>
      <c r="E333" s="124">
        <f t="shared" si="24"/>
        <v>48</v>
      </c>
      <c r="F333" s="124">
        <f t="shared" si="25"/>
        <v>11</v>
      </c>
      <c r="G333" s="27"/>
      <c r="H333" s="28" t="str">
        <f>CONCATENATE(SUMIF($E$6:$E333,$E333,$K$6:$K$370)," / ",SUMIF($E$6:$E$370,$E333,$K$6:$K$370))</f>
        <v>0 / 0</v>
      </c>
      <c r="I333" s="28" t="str">
        <f>CONCATENATE(SUMIF($F$6:$F333,$F333,$K$6:$K$370)," / ",SUMIF($F$6:$F$370,$F333,$K$6:$K$370))</f>
        <v>0 / 0</v>
      </c>
      <c r="J333" s="28" t="str">
        <f>CONCATENATE(SUM($K$6:$K333)," / ",SUM($K$6:$K$370))</f>
        <v>651,895 / 651,895</v>
      </c>
      <c r="K333" s="244">
        <v>0</v>
      </c>
      <c r="L333" s="28"/>
      <c r="M333" s="28" t="str">
        <f>CONCATENATE(SUMIF($E$6:$E333,$E333,$P$6:$P$370)," / ",SUMIF($E$6:$E$370,$E333,$P$6:$P$370))</f>
        <v>0 / 0</v>
      </c>
      <c r="N333" s="28" t="str">
        <f ca="1">CONCATENATE(SUMIF($F$6:$F333,$F333,$P333)," / ",SUMIF($F$6:$F$370,$F333,$P$6:$P$370))</f>
        <v>0 / 0</v>
      </c>
      <c r="O333" s="28" t="str">
        <f>CONCATENATE(SUM($P$6:$P333)," / ",SUM($P$6:$P697))</f>
        <v>528 / 528</v>
      </c>
      <c r="P333" s="244">
        <v>0</v>
      </c>
      <c r="Q333" s="28"/>
      <c r="R333" s="245">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399">
        <v>42698</v>
      </c>
      <c r="C334" s="35" t="str">
        <f t="shared" si="23"/>
        <v>Jeudi</v>
      </c>
      <c r="D334" s="35">
        <f t="shared" si="26"/>
        <v>329</v>
      </c>
      <c r="E334" s="124">
        <f t="shared" si="24"/>
        <v>48</v>
      </c>
      <c r="F334" s="124">
        <f t="shared" si="25"/>
        <v>11</v>
      </c>
      <c r="G334" s="27"/>
      <c r="H334" s="28" t="str">
        <f>CONCATENATE(SUMIF($E$6:$E334,$E334,$K$6:$K$370)," / ",SUMIF($E$6:$E$370,$E334,$K$6:$K$370))</f>
        <v>0 / 0</v>
      </c>
      <c r="I334" s="28" t="str">
        <f>CONCATENATE(SUMIF($F$6:$F334,$F334,$K$6:$K$370)," / ",SUMIF($F$6:$F$370,$F334,$K$6:$K$370))</f>
        <v>0 / 0</v>
      </c>
      <c r="J334" s="28" t="str">
        <f>CONCATENATE(SUM($K$6:$K334)," / ",SUM($K$6:$K$370))</f>
        <v>651,895 / 651,895</v>
      </c>
      <c r="K334" s="244">
        <v>0</v>
      </c>
      <c r="L334" s="28"/>
      <c r="M334" s="28" t="str">
        <f>CONCATENATE(SUMIF($E$6:$E334,$E334,$P$6:$P$370)," / ",SUMIF($E$6:$E$370,$E334,$P$6:$P$370))</f>
        <v>0 / 0</v>
      </c>
      <c r="N334" s="28" t="str">
        <f ca="1">CONCATENATE(SUMIF($F$6:$F334,$F334,$P334)," / ",SUMIF($F$6:$F$370,$F334,$P$6:$P$370))</f>
        <v>0 / 0</v>
      </c>
      <c r="O334" s="28" t="str">
        <f>CONCATENATE(SUM($P$6:$P334)," / ",SUM($P$6:$P698))</f>
        <v>528 / 528</v>
      </c>
      <c r="P334" s="244">
        <v>0</v>
      </c>
      <c r="Q334" s="28"/>
      <c r="R334" s="245">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399">
        <v>42699</v>
      </c>
      <c r="C335" s="35" t="str">
        <f t="shared" si="23"/>
        <v>Vendredi</v>
      </c>
      <c r="D335" s="35">
        <f t="shared" si="26"/>
        <v>330</v>
      </c>
      <c r="E335" s="124">
        <f t="shared" si="24"/>
        <v>48</v>
      </c>
      <c r="F335" s="124">
        <f t="shared" si="25"/>
        <v>11</v>
      </c>
      <c r="G335" s="27"/>
      <c r="H335" s="28" t="str">
        <f>CONCATENATE(SUMIF($E$6:$E335,$E335,$K$6:$K$370)," / ",SUMIF($E$6:$E$370,$E335,$K$6:$K$370))</f>
        <v>0 / 0</v>
      </c>
      <c r="I335" s="28" t="str">
        <f>CONCATENATE(SUMIF($F$6:$F335,$F335,$K$6:$K$370)," / ",SUMIF($F$6:$F$370,$F335,$K$6:$K$370))</f>
        <v>0 / 0</v>
      </c>
      <c r="J335" s="28" t="str">
        <f>CONCATENATE(SUM($K$6:$K335)," / ",SUM($K$6:$K$370))</f>
        <v>651,895 / 651,895</v>
      </c>
      <c r="K335" s="244">
        <v>0</v>
      </c>
      <c r="L335" s="28"/>
      <c r="M335" s="28" t="str">
        <f>CONCATENATE(SUMIF($E$6:$E335,$E335,$P$6:$P$370)," / ",SUMIF($E$6:$E$370,$E335,$P$6:$P$370))</f>
        <v>0 / 0</v>
      </c>
      <c r="N335" s="28" t="str">
        <f ca="1">CONCATENATE(SUMIF($F$6:$F335,$F335,$P335)," / ",SUMIF($F$6:$F$370,$F335,$P$6:$P$370))</f>
        <v>0 / 0</v>
      </c>
      <c r="O335" s="28" t="str">
        <f>CONCATENATE(SUM($P$6:$P335)," / ",SUM($P$6:$P699))</f>
        <v>528 / 528</v>
      </c>
      <c r="P335" s="244">
        <v>0</v>
      </c>
      <c r="Q335" s="28"/>
      <c r="R335" s="245">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399">
        <v>42700</v>
      </c>
      <c r="C336" s="35" t="str">
        <f t="shared" si="23"/>
        <v>Samedi</v>
      </c>
      <c r="D336" s="35">
        <f t="shared" si="26"/>
        <v>331</v>
      </c>
      <c r="E336" s="124">
        <f t="shared" si="24"/>
        <v>48</v>
      </c>
      <c r="F336" s="124">
        <f t="shared" si="25"/>
        <v>11</v>
      </c>
      <c r="G336" s="27"/>
      <c r="H336" s="28" t="str">
        <f>CONCATENATE(SUMIF($E$6:$E336,$E336,$K$6:$K$370)," / ",SUMIF($E$6:$E$370,$E336,$K$6:$K$370))</f>
        <v>0 / 0</v>
      </c>
      <c r="I336" s="28" t="str">
        <f>CONCATENATE(SUMIF($F$6:$F336,$F336,$K$6:$K$370)," / ",SUMIF($F$6:$F$370,$F336,$K$6:$K$370))</f>
        <v>0 / 0</v>
      </c>
      <c r="J336" s="28" t="str">
        <f>CONCATENATE(SUM($K$6:$K336)," / ",SUM($K$6:$K$370))</f>
        <v>651,895 / 651,895</v>
      </c>
      <c r="K336" s="244">
        <v>0</v>
      </c>
      <c r="L336" s="28"/>
      <c r="M336" s="28" t="str">
        <f>CONCATENATE(SUMIF($E$6:$E336,$E336,$P$6:$P$370)," / ",SUMIF($E$6:$E$370,$E336,$P$6:$P$370))</f>
        <v>0 / 0</v>
      </c>
      <c r="N336" s="28" t="str">
        <f ca="1">CONCATENATE(SUMIF($F$6:$F336,$F336,$P336)," / ",SUMIF($F$6:$F$370,$F336,$P$6:$P$370))</f>
        <v>0 / 0</v>
      </c>
      <c r="O336" s="28" t="str">
        <f>CONCATENATE(SUM($P$6:$P336)," / ",SUM($P$6:$P700))</f>
        <v>528 / 528</v>
      </c>
      <c r="P336" s="244">
        <v>0</v>
      </c>
      <c r="Q336" s="28"/>
      <c r="R336" s="245">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399">
        <v>42701</v>
      </c>
      <c r="C337" s="35" t="str">
        <f t="shared" si="23"/>
        <v>Dimanche</v>
      </c>
      <c r="D337" s="35">
        <f t="shared" si="26"/>
        <v>332</v>
      </c>
      <c r="E337" s="124">
        <f t="shared" si="24"/>
        <v>49</v>
      </c>
      <c r="F337" s="124">
        <f t="shared" si="25"/>
        <v>11</v>
      </c>
      <c r="G337" s="27"/>
      <c r="H337" s="28" t="str">
        <f>CONCATENATE(SUMIF($E$6:$E337,$E337,$K$6:$K$370)," / ",SUMIF($E$6:$E$370,$E337,$K$6:$K$370))</f>
        <v>0 / 0</v>
      </c>
      <c r="I337" s="28" t="str">
        <f>CONCATENATE(SUMIF($F$6:$F337,$F337,$K$6:$K$370)," / ",SUMIF($F$6:$F$370,$F337,$K$6:$K$370))</f>
        <v>0 / 0</v>
      </c>
      <c r="J337" s="28" t="str">
        <f>CONCATENATE(SUM($K$6:$K337)," / ",SUM($K$6:$K$370))</f>
        <v>651,895 / 651,895</v>
      </c>
      <c r="K337" s="244">
        <v>0</v>
      </c>
      <c r="L337" s="28"/>
      <c r="M337" s="28" t="str">
        <f>CONCATENATE(SUMIF($E$6:$E337,$E337,$P$6:$P$370)," / ",SUMIF($E$6:$E$370,$E337,$P$6:$P$370))</f>
        <v>0 / 0</v>
      </c>
      <c r="N337" s="28" t="str">
        <f ca="1">CONCATENATE(SUMIF($F$6:$F337,$F337,$P337)," / ",SUMIF($F$6:$F$370,$F337,$P$6:$P$370))</f>
        <v>0 / 0</v>
      </c>
      <c r="O337" s="28" t="str">
        <f>CONCATENATE(SUM($P$6:$P337)," / ",SUM($P$6:$P701))</f>
        <v>528 / 528</v>
      </c>
      <c r="P337" s="244">
        <v>0</v>
      </c>
      <c r="Q337" s="28"/>
      <c r="R337" s="245">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399">
        <v>42702</v>
      </c>
      <c r="C338" s="35" t="str">
        <f t="shared" si="23"/>
        <v>Lundi</v>
      </c>
      <c r="D338" s="35">
        <f t="shared" si="26"/>
        <v>333</v>
      </c>
      <c r="E338" s="124">
        <f t="shared" si="24"/>
        <v>49</v>
      </c>
      <c r="F338" s="124">
        <f t="shared" si="25"/>
        <v>11</v>
      </c>
      <c r="G338" s="27"/>
      <c r="H338" s="28" t="str">
        <f>CONCATENATE(SUMIF($E$6:$E338,$E338,$K$6:$K$370)," / ",SUMIF($E$6:$E$370,$E338,$K$6:$K$370))</f>
        <v>0 / 0</v>
      </c>
      <c r="I338" s="28" t="str">
        <f>CONCATENATE(SUMIF($F$6:$F338,$F338,$K$6:$K$370)," / ",SUMIF($F$6:$F$370,$F338,$K$6:$K$370))</f>
        <v>0 / 0</v>
      </c>
      <c r="J338" s="28" t="str">
        <f>CONCATENATE(SUM($K$6:$K338)," / ",SUM($K$6:$K$370))</f>
        <v>651,895 / 651,895</v>
      </c>
      <c r="K338" s="244">
        <v>0</v>
      </c>
      <c r="L338" s="28"/>
      <c r="M338" s="28" t="str">
        <f>CONCATENATE(SUMIF($E$6:$E338,$E338,$P$6:$P$370)," / ",SUMIF($E$6:$E$370,$E338,$P$6:$P$370))</f>
        <v>0 / 0</v>
      </c>
      <c r="N338" s="28" t="str">
        <f ca="1">CONCATENATE(SUMIF($F$6:$F338,$F338,$P338)," / ",SUMIF($F$6:$F$370,$F338,$P$6:$P$370))</f>
        <v>0 / 0</v>
      </c>
      <c r="O338" s="28" t="str">
        <f>CONCATENATE(SUM($P$6:$P338)," / ",SUM($P$6:$P702))</f>
        <v>528 / 528</v>
      </c>
      <c r="P338" s="244">
        <v>0</v>
      </c>
      <c r="Q338" s="28"/>
      <c r="R338" s="245">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399">
        <v>42703</v>
      </c>
      <c r="C339" s="35" t="str">
        <f t="shared" si="23"/>
        <v>Mardi</v>
      </c>
      <c r="D339" s="35">
        <f t="shared" si="26"/>
        <v>334</v>
      </c>
      <c r="E339" s="124">
        <f t="shared" si="24"/>
        <v>49</v>
      </c>
      <c r="F339" s="124">
        <f t="shared" si="25"/>
        <v>11</v>
      </c>
      <c r="G339" s="27"/>
      <c r="H339" s="28" t="str">
        <f>CONCATENATE(SUMIF($E$6:$E339,$E339,$K$6:$K$370)," / ",SUMIF($E$6:$E$370,$E339,$K$6:$K$370))</f>
        <v>0 / 0</v>
      </c>
      <c r="I339" s="28" t="str">
        <f>CONCATENATE(SUMIF($F$6:$F339,$F339,$K$6:$K$370)," / ",SUMIF($F$6:$F$370,$F339,$K$6:$K$370))</f>
        <v>0 / 0</v>
      </c>
      <c r="J339" s="28" t="str">
        <f>CONCATENATE(SUM($K$6:$K339)," / ",SUM($K$6:$K$370))</f>
        <v>651,895 / 651,895</v>
      </c>
      <c r="K339" s="244">
        <v>0</v>
      </c>
      <c r="L339" s="28"/>
      <c r="M339" s="28" t="str">
        <f>CONCATENATE(SUMIF($E$6:$E339,$E339,$P$6:$P$370)," / ",SUMIF($E$6:$E$370,$E339,$P$6:$P$370))</f>
        <v>0 / 0</v>
      </c>
      <c r="N339" s="28" t="str">
        <f ca="1">CONCATENATE(SUMIF($F$6:$F339,$F339,$P339)," / ",SUMIF($F$6:$F$370,$F339,$P$6:$P$370))</f>
        <v>0 / 0</v>
      </c>
      <c r="O339" s="28" t="str">
        <f>CONCATENATE(SUM($P$6:$P339)," / ",SUM($P$6:$P703))</f>
        <v>528 / 528</v>
      </c>
      <c r="P339" s="244">
        <v>0</v>
      </c>
      <c r="Q339" s="28"/>
      <c r="R339" s="245">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399">
        <v>42704</v>
      </c>
      <c r="C340" s="35" t="str">
        <f t="shared" si="23"/>
        <v>Mercredi</v>
      </c>
      <c r="D340" s="35">
        <f t="shared" si="26"/>
        <v>335</v>
      </c>
      <c r="E340" s="124">
        <f t="shared" si="24"/>
        <v>49</v>
      </c>
      <c r="F340" s="124">
        <f t="shared" si="25"/>
        <v>11</v>
      </c>
      <c r="G340" s="27"/>
      <c r="H340" s="28" t="str">
        <f>CONCATENATE(SUMIF($E$6:$E340,$E340,$K$6:$K$370)," / ",SUMIF($E$6:$E$370,$E340,$K$6:$K$370))</f>
        <v>0 / 0</v>
      </c>
      <c r="I340" s="28" t="str">
        <f>CONCATENATE(SUMIF($F$6:$F340,$F340,$K$6:$K$370)," / ",SUMIF($F$6:$F$370,$F340,$K$6:$K$370))</f>
        <v>0 / 0</v>
      </c>
      <c r="J340" s="28" t="str">
        <f>CONCATENATE(SUM($K$6:$K340)," / ",SUM($K$6:$K$370))</f>
        <v>651,895 / 651,895</v>
      </c>
      <c r="K340" s="244">
        <v>0</v>
      </c>
      <c r="L340" s="28"/>
      <c r="M340" s="28" t="str">
        <f>CONCATENATE(SUMIF($E$6:$E340,$E340,$P$6:$P$370)," / ",SUMIF($E$6:$E$370,$E340,$P$6:$P$370))</f>
        <v>0 / 0</v>
      </c>
      <c r="N340" s="28" t="str">
        <f ca="1">CONCATENATE(SUMIF($F$6:$F340,$F340,$P340)," / ",SUMIF($F$6:$F$370,$F340,$P$6:$P$370))</f>
        <v>0 / 0</v>
      </c>
      <c r="O340" s="28" t="str">
        <f>CONCATENATE(SUM($P$6:$P340)," / ",SUM($P$6:$P704))</f>
        <v>528 / 528</v>
      </c>
      <c r="P340" s="244">
        <v>0</v>
      </c>
      <c r="Q340" s="28"/>
      <c r="R340" s="245">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399">
        <v>42705</v>
      </c>
      <c r="C341" s="35" t="str">
        <f t="shared" si="23"/>
        <v>Jeudi</v>
      </c>
      <c r="D341" s="35">
        <f t="shared" si="26"/>
        <v>336</v>
      </c>
      <c r="E341" s="124">
        <f t="shared" si="24"/>
        <v>49</v>
      </c>
      <c r="F341" s="124">
        <f t="shared" si="25"/>
        <v>12</v>
      </c>
      <c r="G341" s="27"/>
      <c r="H341" s="28" t="str">
        <f>CONCATENATE(SUMIF($E$6:$E341,$E341,$K$6:$K$370)," / ",SUMIF($E$6:$E$370,$E341,$K$6:$K$370))</f>
        <v>0 / 0</v>
      </c>
      <c r="I341" s="28" t="str">
        <f>CONCATENATE(SUMIF($F$6:$F341,$F341,$K$6:$K$370)," / ",SUMIF($F$6:$F$370,$F341,$K$6:$K$370))</f>
        <v>0 / 0</v>
      </c>
      <c r="J341" s="28" t="str">
        <f>CONCATENATE(SUM($K$6:$K341)," / ",SUM($K$6:$K$370))</f>
        <v>651,895 / 651,895</v>
      </c>
      <c r="K341" s="244">
        <v>0</v>
      </c>
      <c r="L341" s="28"/>
      <c r="M341" s="28" t="str">
        <f>CONCATENATE(SUMIF($E$6:$E341,$E341,$P$6:$P$370)," / ",SUMIF($E$6:$E$370,$E341,$P$6:$P$370))</f>
        <v>0 / 0</v>
      </c>
      <c r="N341" s="28" t="str">
        <f ca="1">CONCATENATE(SUMIF($F$6:$F341,$F341,$P341)," / ",SUMIF($F$6:$F$370,$F341,$P$6:$P$370))</f>
        <v>0 / 0</v>
      </c>
      <c r="O341" s="28" t="str">
        <f>CONCATENATE(SUM($P$6:$P341)," / ",SUM($P$6:$P705))</f>
        <v>528 / 528</v>
      </c>
      <c r="P341" s="244">
        <v>0</v>
      </c>
      <c r="Q341" s="28"/>
      <c r="R341" s="245">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399">
        <v>42706</v>
      </c>
      <c r="C342" s="35" t="str">
        <f t="shared" si="23"/>
        <v>Vendredi</v>
      </c>
      <c r="D342" s="35">
        <f t="shared" si="26"/>
        <v>337</v>
      </c>
      <c r="E342" s="124">
        <f t="shared" si="24"/>
        <v>49</v>
      </c>
      <c r="F342" s="124">
        <f t="shared" si="25"/>
        <v>12</v>
      </c>
      <c r="G342" s="27"/>
      <c r="H342" s="28" t="str">
        <f>CONCATENATE(SUMIF($E$6:$E342,$E342,$K$6:$K$370)," / ",SUMIF($E$6:$E$370,$E342,$K$6:$K$370))</f>
        <v>0 / 0</v>
      </c>
      <c r="I342" s="28" t="str">
        <f>CONCATENATE(SUMIF($F$6:$F342,$F342,$K$6:$K$370)," / ",SUMIF($F$6:$F$370,$F342,$K$6:$K$370))</f>
        <v>0 / 0</v>
      </c>
      <c r="J342" s="28" t="str">
        <f>CONCATENATE(SUM($K$6:$K342)," / ",SUM($K$6:$K$370))</f>
        <v>651,895 / 651,895</v>
      </c>
      <c r="K342" s="244">
        <v>0</v>
      </c>
      <c r="L342" s="28"/>
      <c r="M342" s="28" t="str">
        <f>CONCATENATE(SUMIF($E$6:$E342,$E342,$P$6:$P$370)," / ",SUMIF($E$6:$E$370,$E342,$P$6:$P$370))</f>
        <v>0 / 0</v>
      </c>
      <c r="N342" s="28" t="str">
        <f ca="1">CONCATENATE(SUMIF($F$6:$F342,$F342,$P342)," / ",SUMIF($F$6:$F$370,$F342,$P$6:$P$370))</f>
        <v>0 / 0</v>
      </c>
      <c r="O342" s="28" t="str">
        <f>CONCATENATE(SUM($P$6:$P342)," / ",SUM($P$6:$P706))</f>
        <v>528 / 528</v>
      </c>
      <c r="P342" s="244">
        <v>0</v>
      </c>
      <c r="Q342" s="28"/>
      <c r="R342" s="245">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399">
        <v>42707</v>
      </c>
      <c r="C343" s="35" t="str">
        <f t="shared" si="23"/>
        <v>Samedi</v>
      </c>
      <c r="D343" s="35">
        <f t="shared" si="26"/>
        <v>338</v>
      </c>
      <c r="E343" s="124">
        <f t="shared" si="24"/>
        <v>49</v>
      </c>
      <c r="F343" s="124">
        <f t="shared" si="25"/>
        <v>12</v>
      </c>
      <c r="G343" s="27"/>
      <c r="H343" s="28" t="str">
        <f>CONCATENATE(SUMIF($E$6:$E343,$E343,$K$6:$K$370)," / ",SUMIF($E$6:$E$370,$E343,$K$6:$K$370))</f>
        <v>0 / 0</v>
      </c>
      <c r="I343" s="28" t="str">
        <f>CONCATENATE(SUMIF($F$6:$F343,$F343,$K$6:$K$370)," / ",SUMIF($F$6:$F$370,$F343,$K$6:$K$370))</f>
        <v>0 / 0</v>
      </c>
      <c r="J343" s="28" t="str">
        <f>CONCATENATE(SUM($K$6:$K343)," / ",SUM($K$6:$K$370))</f>
        <v>651,895 / 651,895</v>
      </c>
      <c r="K343" s="244">
        <v>0</v>
      </c>
      <c r="L343" s="28"/>
      <c r="M343" s="28" t="str">
        <f>CONCATENATE(SUMIF($E$6:$E343,$E343,$P$6:$P$370)," / ",SUMIF($E$6:$E$370,$E343,$P$6:$P$370))</f>
        <v>0 / 0</v>
      </c>
      <c r="N343" s="28" t="str">
        <f ca="1">CONCATENATE(SUMIF($F$6:$F343,$F343,$P343)," / ",SUMIF($F$6:$F$370,$F343,$P$6:$P$370))</f>
        <v>0 / 0</v>
      </c>
      <c r="O343" s="28" t="str">
        <f>CONCATENATE(SUM($P$6:$P343)," / ",SUM($P$6:$P707))</f>
        <v>528 / 528</v>
      </c>
      <c r="P343" s="244">
        <v>0</v>
      </c>
      <c r="Q343" s="28"/>
      <c r="R343" s="245">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399">
        <v>42708</v>
      </c>
      <c r="C344" s="35" t="str">
        <f t="shared" si="23"/>
        <v>Dimanche</v>
      </c>
      <c r="D344" s="35">
        <f t="shared" si="26"/>
        <v>339</v>
      </c>
      <c r="E344" s="124">
        <f t="shared" si="24"/>
        <v>50</v>
      </c>
      <c r="F344" s="124">
        <f t="shared" si="25"/>
        <v>12</v>
      </c>
      <c r="G344" s="27"/>
      <c r="H344" s="28" t="str">
        <f>CONCATENATE(SUMIF($E$6:$E344,$E344,$K$6:$K$370)," / ",SUMIF($E$6:$E$370,$E344,$K$6:$K$370))</f>
        <v>0 / 0</v>
      </c>
      <c r="I344" s="28" t="str">
        <f>CONCATENATE(SUMIF($F$6:$F344,$F344,$K$6:$K$370)," / ",SUMIF($F$6:$F$370,$F344,$K$6:$K$370))</f>
        <v>0 / 0</v>
      </c>
      <c r="J344" s="28" t="str">
        <f>CONCATENATE(SUM($K$6:$K344)," / ",SUM($K$6:$K$370))</f>
        <v>651,895 / 651,895</v>
      </c>
      <c r="K344" s="244">
        <v>0</v>
      </c>
      <c r="L344" s="28"/>
      <c r="M344" s="28" t="str">
        <f>CONCATENATE(SUMIF($E$6:$E344,$E344,$P$6:$P$370)," / ",SUMIF($E$6:$E$370,$E344,$P$6:$P$370))</f>
        <v>0 / 0</v>
      </c>
      <c r="N344" s="28" t="str">
        <f ca="1">CONCATENATE(SUMIF($F$6:$F344,$F344,$P344)," / ",SUMIF($F$6:$F$370,$F344,$P$6:$P$370))</f>
        <v>0 / 0</v>
      </c>
      <c r="O344" s="28" t="str">
        <f>CONCATENATE(SUM($P$6:$P344)," / ",SUM($P$6:$P708))</f>
        <v>528 / 528</v>
      </c>
      <c r="P344" s="244">
        <v>0</v>
      </c>
      <c r="Q344" s="28"/>
      <c r="R344" s="245">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399">
        <v>42709</v>
      </c>
      <c r="C345" s="35" t="str">
        <f t="shared" si="23"/>
        <v>Lundi</v>
      </c>
      <c r="D345" s="35">
        <f t="shared" si="26"/>
        <v>340</v>
      </c>
      <c r="E345" s="124">
        <f t="shared" si="24"/>
        <v>50</v>
      </c>
      <c r="F345" s="124">
        <f t="shared" si="25"/>
        <v>12</v>
      </c>
      <c r="G345" s="27"/>
      <c r="H345" s="28" t="str">
        <f>CONCATENATE(SUMIF($E$6:$E345,$E345,$K$6:$K$370)," / ",SUMIF($E$6:$E$370,$E345,$K$6:$K$370))</f>
        <v>0 / 0</v>
      </c>
      <c r="I345" s="28" t="str">
        <f>CONCATENATE(SUMIF($F$6:$F345,$F345,$K$6:$K$370)," / ",SUMIF($F$6:$F$370,$F345,$K$6:$K$370))</f>
        <v>0 / 0</v>
      </c>
      <c r="J345" s="28" t="str">
        <f>CONCATENATE(SUM($K$6:$K345)," / ",SUM($K$6:$K$370))</f>
        <v>651,895 / 651,895</v>
      </c>
      <c r="K345" s="244">
        <v>0</v>
      </c>
      <c r="L345" s="28"/>
      <c r="M345" s="28" t="str">
        <f>CONCATENATE(SUMIF($E$6:$E345,$E345,$P$6:$P$370)," / ",SUMIF($E$6:$E$370,$E345,$P$6:$P$370))</f>
        <v>0 / 0</v>
      </c>
      <c r="N345" s="28" t="str">
        <f ca="1">CONCATENATE(SUMIF($F$6:$F345,$F345,$P345)," / ",SUMIF($F$6:$F$370,$F345,$P$6:$P$370))</f>
        <v>0 / 0</v>
      </c>
      <c r="O345" s="28" t="str">
        <f>CONCATENATE(SUM($P$6:$P345)," / ",SUM($P$6:$P709))</f>
        <v>528 / 528</v>
      </c>
      <c r="P345" s="244">
        <v>0</v>
      </c>
      <c r="Q345" s="28"/>
      <c r="R345" s="245">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399">
        <v>42710</v>
      </c>
      <c r="C346" s="35" t="str">
        <f t="shared" si="23"/>
        <v>Mardi</v>
      </c>
      <c r="D346" s="35">
        <f t="shared" si="26"/>
        <v>341</v>
      </c>
      <c r="E346" s="124">
        <f t="shared" si="24"/>
        <v>50</v>
      </c>
      <c r="F346" s="124">
        <f t="shared" si="25"/>
        <v>12</v>
      </c>
      <c r="G346" s="27"/>
      <c r="H346" s="28" t="str">
        <f>CONCATENATE(SUMIF($E$6:$E346,$E346,$K$6:$K$370)," / ",SUMIF($E$6:$E$370,$E346,$K$6:$K$370))</f>
        <v>0 / 0</v>
      </c>
      <c r="I346" s="28" t="str">
        <f>CONCATENATE(SUMIF($F$6:$F346,$F346,$K$6:$K$370)," / ",SUMIF($F$6:$F$370,$F346,$K$6:$K$370))</f>
        <v>0 / 0</v>
      </c>
      <c r="J346" s="28" t="str">
        <f>CONCATENATE(SUM($K$6:$K346)," / ",SUM($K$6:$K$370))</f>
        <v>651,895 / 651,895</v>
      </c>
      <c r="K346" s="244">
        <v>0</v>
      </c>
      <c r="L346" s="28"/>
      <c r="M346" s="28" t="str">
        <f>CONCATENATE(SUMIF($E$6:$E346,$E346,$P$6:$P$370)," / ",SUMIF($E$6:$E$370,$E346,$P$6:$P$370))</f>
        <v>0 / 0</v>
      </c>
      <c r="N346" s="28" t="str">
        <f ca="1">CONCATENATE(SUMIF($F$6:$F346,$F346,$P346)," / ",SUMIF($F$6:$F$370,$F346,$P$6:$P$370))</f>
        <v>0 / 0</v>
      </c>
      <c r="O346" s="28" t="str">
        <f>CONCATENATE(SUM($P$6:$P346)," / ",SUM($P$6:$P710))</f>
        <v>528 / 528</v>
      </c>
      <c r="P346" s="244">
        <v>0</v>
      </c>
      <c r="Q346" s="28"/>
      <c r="R346" s="245">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399">
        <v>42711</v>
      </c>
      <c r="C347" s="35" t="str">
        <f t="shared" si="23"/>
        <v>Mercredi</v>
      </c>
      <c r="D347" s="35">
        <f t="shared" si="26"/>
        <v>342</v>
      </c>
      <c r="E347" s="124">
        <f t="shared" si="24"/>
        <v>50</v>
      </c>
      <c r="F347" s="124">
        <f t="shared" si="25"/>
        <v>12</v>
      </c>
      <c r="G347" s="27"/>
      <c r="H347" s="28" t="str">
        <f>CONCATENATE(SUMIF($E$6:$E347,$E347,$K$6:$K$370)," / ",SUMIF($E$6:$E$370,$E347,$K$6:$K$370))</f>
        <v>0 / 0</v>
      </c>
      <c r="I347" s="28" t="str">
        <f>CONCATENATE(SUMIF($F$6:$F347,$F347,$K$6:$K$370)," / ",SUMIF($F$6:$F$370,$F347,$K$6:$K$370))</f>
        <v>0 / 0</v>
      </c>
      <c r="J347" s="28" t="str">
        <f>CONCATENATE(SUM($K$6:$K347)," / ",SUM($K$6:$K$370))</f>
        <v>651,895 / 651,895</v>
      </c>
      <c r="K347" s="244">
        <v>0</v>
      </c>
      <c r="L347" s="28"/>
      <c r="M347" s="28" t="str">
        <f>CONCATENATE(SUMIF($E$6:$E347,$E347,$P$6:$P$370)," / ",SUMIF($E$6:$E$370,$E347,$P$6:$P$370))</f>
        <v>0 / 0</v>
      </c>
      <c r="N347" s="28" t="str">
        <f ca="1">CONCATENATE(SUMIF($F$6:$F347,$F347,$P347)," / ",SUMIF($F$6:$F$370,$F347,$P$6:$P$370))</f>
        <v>0 / 0</v>
      </c>
      <c r="O347" s="28" t="str">
        <f>CONCATENATE(SUM($P$6:$P347)," / ",SUM($P$6:$P711))</f>
        <v>528 / 528</v>
      </c>
      <c r="P347" s="244">
        <v>0</v>
      </c>
      <c r="Q347" s="28"/>
      <c r="R347" s="245">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399">
        <v>42712</v>
      </c>
      <c r="C348" s="35" t="str">
        <f t="shared" si="23"/>
        <v>Jeudi</v>
      </c>
      <c r="D348" s="35">
        <f t="shared" si="26"/>
        <v>343</v>
      </c>
      <c r="E348" s="124">
        <f t="shared" si="24"/>
        <v>50</v>
      </c>
      <c r="F348" s="124">
        <f t="shared" si="25"/>
        <v>12</v>
      </c>
      <c r="G348" s="27"/>
      <c r="H348" s="28" t="str">
        <f>CONCATENATE(SUMIF($E$6:$E348,$E348,$K$6:$K$370)," / ",SUMIF($E$6:$E$370,$E348,$K$6:$K$370))</f>
        <v>0 / 0</v>
      </c>
      <c r="I348" s="28" t="str">
        <f>CONCATENATE(SUMIF($F$6:$F348,$F348,$K$6:$K$370)," / ",SUMIF($F$6:$F$370,$F348,$K$6:$K$370))</f>
        <v>0 / 0</v>
      </c>
      <c r="J348" s="28" t="str">
        <f>CONCATENATE(SUM($K$6:$K348)," / ",SUM($K$6:$K$370))</f>
        <v>651,895 / 651,895</v>
      </c>
      <c r="K348" s="244">
        <v>0</v>
      </c>
      <c r="L348" s="28"/>
      <c r="M348" s="28" t="str">
        <f>CONCATENATE(SUMIF($E$6:$E348,$E348,$P$6:$P$370)," / ",SUMIF($E$6:$E$370,$E348,$P$6:$P$370))</f>
        <v>0 / 0</v>
      </c>
      <c r="N348" s="28" t="str">
        <f ca="1">CONCATENATE(SUMIF($F$6:$F348,$F348,$P348)," / ",SUMIF($F$6:$F$370,$F348,$P$6:$P$370))</f>
        <v>0 / 0</v>
      </c>
      <c r="O348" s="28" t="str">
        <f>CONCATENATE(SUM($P$6:$P348)," / ",SUM($P$6:$P712))</f>
        <v>528 / 528</v>
      </c>
      <c r="P348" s="244">
        <v>0</v>
      </c>
      <c r="Q348" s="28"/>
      <c r="R348" s="245">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399">
        <v>42713</v>
      </c>
      <c r="C349" s="35" t="str">
        <f t="shared" si="23"/>
        <v>Vendredi</v>
      </c>
      <c r="D349" s="35">
        <f t="shared" si="26"/>
        <v>344</v>
      </c>
      <c r="E349" s="124">
        <f t="shared" si="24"/>
        <v>50</v>
      </c>
      <c r="F349" s="124">
        <f t="shared" si="25"/>
        <v>12</v>
      </c>
      <c r="G349" s="27"/>
      <c r="H349" s="28" t="str">
        <f>CONCATENATE(SUMIF($E$6:$E349,$E349,$K$6:$K$370)," / ",SUMIF($E$6:$E$370,$E349,$K$6:$K$370))</f>
        <v>0 / 0</v>
      </c>
      <c r="I349" s="28" t="str">
        <f>CONCATENATE(SUMIF($F$6:$F349,$F349,$K$6:$K$370)," / ",SUMIF($F$6:$F$370,$F349,$K$6:$K$370))</f>
        <v>0 / 0</v>
      </c>
      <c r="J349" s="28" t="str">
        <f>CONCATENATE(SUM($K$6:$K349)," / ",SUM($K$6:$K$370))</f>
        <v>651,895 / 651,895</v>
      </c>
      <c r="K349" s="244">
        <v>0</v>
      </c>
      <c r="L349" s="28"/>
      <c r="M349" s="28" t="str">
        <f>CONCATENATE(SUMIF($E$6:$E349,$E349,$P$6:$P$370)," / ",SUMIF($E$6:$E$370,$E349,$P$6:$P$370))</f>
        <v>0 / 0</v>
      </c>
      <c r="N349" s="28" t="str">
        <f ca="1">CONCATENATE(SUMIF($F$6:$F349,$F349,$P349)," / ",SUMIF($F$6:$F$370,$F349,$P$6:$P$370))</f>
        <v>0 / 0</v>
      </c>
      <c r="O349" s="28" t="str">
        <f>CONCATENATE(SUM($P$6:$P349)," / ",SUM($P$6:$P713))</f>
        <v>528 / 528</v>
      </c>
      <c r="P349" s="244">
        <v>0</v>
      </c>
      <c r="Q349" s="28"/>
      <c r="R349" s="245">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399">
        <v>42714</v>
      </c>
      <c r="C350" s="35" t="str">
        <f t="shared" si="23"/>
        <v>Samedi</v>
      </c>
      <c r="D350" s="35">
        <f t="shared" si="26"/>
        <v>345</v>
      </c>
      <c r="E350" s="124">
        <f t="shared" si="24"/>
        <v>50</v>
      </c>
      <c r="F350" s="124">
        <f t="shared" si="25"/>
        <v>12</v>
      </c>
      <c r="G350" s="27"/>
      <c r="H350" s="28" t="str">
        <f>CONCATENATE(SUMIF($E$6:$E350,$E350,$K$6:$K$370)," / ",SUMIF($E$6:$E$370,$E350,$K$6:$K$370))</f>
        <v>0 / 0</v>
      </c>
      <c r="I350" s="28" t="str">
        <f>CONCATENATE(SUMIF($F$6:$F350,$F350,$K$6:$K$370)," / ",SUMIF($F$6:$F$370,$F350,$K$6:$K$370))</f>
        <v>0 / 0</v>
      </c>
      <c r="J350" s="28" t="str">
        <f>CONCATENATE(SUM($K$6:$K350)," / ",SUM($K$6:$K$370))</f>
        <v>651,895 / 651,895</v>
      </c>
      <c r="K350" s="244">
        <v>0</v>
      </c>
      <c r="L350" s="28"/>
      <c r="M350" s="28" t="str">
        <f>CONCATENATE(SUMIF($E$6:$E350,$E350,$P$6:$P$370)," / ",SUMIF($E$6:$E$370,$E350,$P$6:$P$370))</f>
        <v>0 / 0</v>
      </c>
      <c r="N350" s="28" t="str">
        <f ca="1">CONCATENATE(SUMIF($F$6:$F350,$F350,$P350)," / ",SUMIF($F$6:$F$370,$F350,$P$6:$P$370))</f>
        <v>0 / 0</v>
      </c>
      <c r="O350" s="28" t="str">
        <f>CONCATENATE(SUM($P$6:$P350)," / ",SUM($P$6:$P714))</f>
        <v>528 / 528</v>
      </c>
      <c r="P350" s="244">
        <v>0</v>
      </c>
      <c r="Q350" s="28"/>
      <c r="R350" s="245">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399">
        <v>42715</v>
      </c>
      <c r="C351" s="35" t="str">
        <f t="shared" si="23"/>
        <v>Dimanche</v>
      </c>
      <c r="D351" s="35">
        <f t="shared" si="26"/>
        <v>346</v>
      </c>
      <c r="E351" s="124">
        <f t="shared" si="24"/>
        <v>51</v>
      </c>
      <c r="F351" s="124">
        <f t="shared" si="25"/>
        <v>12</v>
      </c>
      <c r="G351" s="27"/>
      <c r="H351" s="28" t="str">
        <f>CONCATENATE(SUMIF($E$6:$E351,$E351,$K$6:$K$370)," / ",SUMIF($E$6:$E$370,$E351,$K$6:$K$370))</f>
        <v>0 / 0</v>
      </c>
      <c r="I351" s="28" t="str">
        <f>CONCATENATE(SUMIF($F$6:$F351,$F351,$K$6:$K$370)," / ",SUMIF($F$6:$F$370,$F351,$K$6:$K$370))</f>
        <v>0 / 0</v>
      </c>
      <c r="J351" s="28" t="str">
        <f>CONCATENATE(SUM($K$6:$K351)," / ",SUM($K$6:$K$370))</f>
        <v>651,895 / 651,895</v>
      </c>
      <c r="K351" s="244">
        <v>0</v>
      </c>
      <c r="L351" s="28"/>
      <c r="M351" s="28" t="str">
        <f>CONCATENATE(SUMIF($E$6:$E351,$E351,$P$6:$P$370)," / ",SUMIF($E$6:$E$370,$E351,$P$6:$P$370))</f>
        <v>0 / 0</v>
      </c>
      <c r="N351" s="28" t="str">
        <f ca="1">CONCATENATE(SUMIF($F$6:$F351,$F351,$P351)," / ",SUMIF($F$6:$F$370,$F351,$P$6:$P$370))</f>
        <v>0 / 0</v>
      </c>
      <c r="O351" s="28" t="str">
        <f>CONCATENATE(SUM($P$6:$P351)," / ",SUM($P$6:$P715))</f>
        <v>528 / 528</v>
      </c>
      <c r="P351" s="244">
        <v>0</v>
      </c>
      <c r="Q351" s="28"/>
      <c r="R351" s="245">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399">
        <v>42716</v>
      </c>
      <c r="C352" s="35" t="str">
        <f t="shared" si="23"/>
        <v>Lundi</v>
      </c>
      <c r="D352" s="35">
        <f t="shared" si="26"/>
        <v>347</v>
      </c>
      <c r="E352" s="124">
        <f t="shared" si="24"/>
        <v>51</v>
      </c>
      <c r="F352" s="124">
        <f t="shared" ref="F352:F361" si="27">MONTH(B352)</f>
        <v>12</v>
      </c>
      <c r="G352" s="27"/>
      <c r="H352" s="28" t="str">
        <f>CONCATENATE(SUMIF($E$6:$E352,$E352,$K$6:$K$370)," / ",SUMIF($E$6:$E$370,$E352,$K$6:$K$370))</f>
        <v>0 / 0</v>
      </c>
      <c r="I352" s="28" t="str">
        <f>CONCATENATE(SUMIF($F$6:$F352,$F352,$K$6:$K$370)," / ",SUMIF($F$6:$F$370,$F352,$K$6:$K$370))</f>
        <v>0 / 0</v>
      </c>
      <c r="J352" s="28" t="str">
        <f>CONCATENATE(SUM($K$6:$K352)," / ",SUM($K$6:$K$370))</f>
        <v>651,895 / 651,895</v>
      </c>
      <c r="K352" s="244">
        <v>0</v>
      </c>
      <c r="L352" s="28"/>
      <c r="M352" s="28" t="str">
        <f>CONCATENATE(SUMIF($E$6:$E352,$E352,$P$6:$P$370)," / ",SUMIF($E$6:$E$370,$E352,$P$6:$P$370))</f>
        <v>0 / 0</v>
      </c>
      <c r="N352" s="28" t="str">
        <f ca="1">CONCATENATE(SUMIF($F$6:$F352,$F352,$P352)," / ",SUMIF($F$6:$F$370,$F352,$P$6:$P$370))</f>
        <v>0 / 0</v>
      </c>
      <c r="O352" s="28" t="str">
        <f>CONCATENATE(SUM($P$6:$P352)," / ",SUM($P$6:$P716))</f>
        <v>528 / 528</v>
      </c>
      <c r="P352" s="244">
        <v>0</v>
      </c>
      <c r="Q352" s="28"/>
      <c r="R352" s="245">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399">
        <v>42717</v>
      </c>
      <c r="C353" s="35" t="str">
        <f t="shared" si="23"/>
        <v>Mardi</v>
      </c>
      <c r="D353" s="35">
        <f t="shared" si="26"/>
        <v>348</v>
      </c>
      <c r="E353" s="124">
        <f t="shared" si="24"/>
        <v>51</v>
      </c>
      <c r="F353" s="124">
        <f t="shared" si="27"/>
        <v>12</v>
      </c>
      <c r="G353" s="27"/>
      <c r="H353" s="28" t="str">
        <f>CONCATENATE(SUMIF($E$6:$E353,$E353,$K$6:$K$370)," / ",SUMIF($E$6:$E$370,$E353,$K$6:$K$370))</f>
        <v>0 / 0</v>
      </c>
      <c r="I353" s="28" t="str">
        <f>CONCATENATE(SUMIF($F$6:$F353,$F353,$K$6:$K$370)," / ",SUMIF($F$6:$F$370,$F353,$K$6:$K$370))</f>
        <v>0 / 0</v>
      </c>
      <c r="J353" s="28" t="str">
        <f>CONCATENATE(SUM($K$6:$K353)," / ",SUM($K$6:$K$370))</f>
        <v>651,895 / 651,895</v>
      </c>
      <c r="K353" s="244">
        <v>0</v>
      </c>
      <c r="L353" s="28"/>
      <c r="M353" s="28" t="str">
        <f>CONCATENATE(SUMIF($E$6:$E353,$E353,$P$6:$P$370)," / ",SUMIF($E$6:$E$370,$E353,$P$6:$P$370))</f>
        <v>0 / 0</v>
      </c>
      <c r="N353" s="28" t="str">
        <f ca="1">CONCATENATE(SUMIF($F$6:$F353,$F353,$P353)," / ",SUMIF($F$6:$F$370,$F353,$P$6:$P$370))</f>
        <v>0 / 0</v>
      </c>
      <c r="O353" s="28" t="str">
        <f>CONCATENATE(SUM($P$6:$P353)," / ",SUM($P$6:$P717))</f>
        <v>528 / 528</v>
      </c>
      <c r="P353" s="244">
        <v>0</v>
      </c>
      <c r="Q353" s="28"/>
      <c r="R353" s="245">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399">
        <v>42718</v>
      </c>
      <c r="C354" s="35" t="str">
        <f t="shared" si="23"/>
        <v>Mercredi</v>
      </c>
      <c r="D354" s="35">
        <f t="shared" si="26"/>
        <v>349</v>
      </c>
      <c r="E354" s="124">
        <f t="shared" si="24"/>
        <v>51</v>
      </c>
      <c r="F354" s="124">
        <f t="shared" si="27"/>
        <v>12</v>
      </c>
      <c r="G354" s="27"/>
      <c r="H354" s="28" t="str">
        <f>CONCATENATE(SUMIF($E$6:$E354,$E354,$K$6:$K$370)," / ",SUMIF($E$6:$E$370,$E354,$K$6:$K$370))</f>
        <v>0 / 0</v>
      </c>
      <c r="I354" s="28" t="str">
        <f>CONCATENATE(SUMIF($F$6:$F354,$F354,$K$6:$K$370)," / ",SUMIF($F$6:$F$370,$F354,$K$6:$K$370))</f>
        <v>0 / 0</v>
      </c>
      <c r="J354" s="28" t="str">
        <f>CONCATENATE(SUM($K$6:$K354)," / ",SUM($K$6:$K$370))</f>
        <v>651,895 / 651,895</v>
      </c>
      <c r="K354" s="244">
        <v>0</v>
      </c>
      <c r="L354" s="28"/>
      <c r="M354" s="28" t="str">
        <f>CONCATENATE(SUMIF($E$6:$E354,$E354,$P$6:$P$370)," / ",SUMIF($E$6:$E$370,$E354,$P$6:$P$370))</f>
        <v>0 / 0</v>
      </c>
      <c r="N354" s="28" t="str">
        <f ca="1">CONCATENATE(SUMIF($F$6:$F354,$F354,$P354)," / ",SUMIF($F$6:$F$370,$F354,$P$6:$P$370))</f>
        <v>0 / 0</v>
      </c>
      <c r="O354" s="28" t="str">
        <f>CONCATENATE(SUM($P$6:$P354)," / ",SUM($P$6:$P718))</f>
        <v>528 / 528</v>
      </c>
      <c r="P354" s="244">
        <v>0</v>
      </c>
      <c r="Q354" s="28"/>
      <c r="R354" s="245">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399">
        <v>42719</v>
      </c>
      <c r="C355" s="35" t="str">
        <f t="shared" si="23"/>
        <v>Jeudi</v>
      </c>
      <c r="D355" s="35">
        <f t="shared" si="26"/>
        <v>350</v>
      </c>
      <c r="E355" s="124">
        <f t="shared" si="24"/>
        <v>51</v>
      </c>
      <c r="F355" s="124">
        <f t="shared" si="27"/>
        <v>12</v>
      </c>
      <c r="G355" s="27"/>
      <c r="H355" s="28" t="str">
        <f>CONCATENATE(SUMIF($E$6:$E355,$E355,$K$6:$K$370)," / ",SUMIF($E$6:$E$370,$E355,$K$6:$K$370))</f>
        <v>0 / 0</v>
      </c>
      <c r="I355" s="28" t="str">
        <f>CONCATENATE(SUMIF($F$6:$F355,$F355,$K$6:$K$370)," / ",SUMIF($F$6:$F$370,$F355,$K$6:$K$370))</f>
        <v>0 / 0</v>
      </c>
      <c r="J355" s="28" t="str">
        <f>CONCATENATE(SUM($K$6:$K355)," / ",SUM($K$6:$K$370))</f>
        <v>651,895 / 651,895</v>
      </c>
      <c r="K355" s="244">
        <v>0</v>
      </c>
      <c r="L355" s="28"/>
      <c r="M355" s="28" t="str">
        <f>CONCATENATE(SUMIF($E$6:$E355,$E355,$P$6:$P$370)," / ",SUMIF($E$6:$E$370,$E355,$P$6:$P$370))</f>
        <v>0 / 0</v>
      </c>
      <c r="N355" s="28" t="str">
        <f ca="1">CONCATENATE(SUMIF($F$6:$F355,$F355,$P355)," / ",SUMIF($F$6:$F$370,$F355,$P$6:$P$370))</f>
        <v>0 / 0</v>
      </c>
      <c r="O355" s="28" t="str">
        <f>CONCATENATE(SUM($P$6:$P355)," / ",SUM($P$6:$P719))</f>
        <v>528 / 528</v>
      </c>
      <c r="P355" s="244">
        <v>0</v>
      </c>
      <c r="Q355" s="28"/>
      <c r="R355" s="245">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399">
        <v>42720</v>
      </c>
      <c r="C356" s="35" t="str">
        <f t="shared" si="23"/>
        <v>Vendredi</v>
      </c>
      <c r="D356" s="35">
        <f t="shared" si="26"/>
        <v>351</v>
      </c>
      <c r="E356" s="124">
        <f t="shared" si="24"/>
        <v>51</v>
      </c>
      <c r="F356" s="124">
        <f t="shared" si="27"/>
        <v>12</v>
      </c>
      <c r="G356" s="27"/>
      <c r="H356" s="28" t="str">
        <f>CONCATENATE(SUMIF($E$6:$E356,$E356,$K$6:$K$370)," / ",SUMIF($E$6:$E$370,$E356,$K$6:$K$370))</f>
        <v>0 / 0</v>
      </c>
      <c r="I356" s="28" t="str">
        <f>CONCATENATE(SUMIF($F$6:$F356,$F356,$K$6:$K$370)," / ",SUMIF($F$6:$F$370,$F356,$K$6:$K$370))</f>
        <v>0 / 0</v>
      </c>
      <c r="J356" s="28" t="str">
        <f>CONCATENATE(SUM($K$6:$K356)," / ",SUM($K$6:$K$370))</f>
        <v>651,895 / 651,895</v>
      </c>
      <c r="K356" s="244">
        <v>0</v>
      </c>
      <c r="L356" s="28"/>
      <c r="M356" s="28" t="str">
        <f>CONCATENATE(SUMIF($E$6:$E356,$E356,$P$6:$P$370)," / ",SUMIF($E$6:$E$370,$E356,$P$6:$P$370))</f>
        <v>0 / 0</v>
      </c>
      <c r="N356" s="28" t="str">
        <f ca="1">CONCATENATE(SUMIF($F$6:$F356,$F356,$P356)," / ",SUMIF($F$6:$F$370,$F356,$P$6:$P$370))</f>
        <v>0 / 0</v>
      </c>
      <c r="O356" s="28" t="str">
        <f>CONCATENATE(SUM($P$6:$P356)," / ",SUM($P$6:$P720))</f>
        <v>528 / 528</v>
      </c>
      <c r="P356" s="244">
        <v>0</v>
      </c>
      <c r="Q356" s="28"/>
      <c r="R356" s="245">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399">
        <v>42721</v>
      </c>
      <c r="C357" s="35" t="str">
        <f t="shared" si="23"/>
        <v>Samedi</v>
      </c>
      <c r="D357" s="35">
        <f t="shared" si="26"/>
        <v>352</v>
      </c>
      <c r="E357" s="124">
        <f t="shared" si="24"/>
        <v>51</v>
      </c>
      <c r="F357" s="124">
        <f t="shared" si="27"/>
        <v>12</v>
      </c>
      <c r="G357" s="27"/>
      <c r="H357" s="28" t="str">
        <f>CONCATENATE(SUMIF($E$6:$E357,$E357,$K$6:$K$370)," / ",SUMIF($E$6:$E$370,$E357,$K$6:$K$370))</f>
        <v>0 / 0</v>
      </c>
      <c r="I357" s="28" t="str">
        <f>CONCATENATE(SUMIF($F$6:$F357,$F357,$K$6:$K$370)," / ",SUMIF($F$6:$F$370,$F357,$K$6:$K$370))</f>
        <v>0 / 0</v>
      </c>
      <c r="J357" s="28" t="str">
        <f>CONCATENATE(SUM($K$6:$K357)," / ",SUM($K$6:$K$370))</f>
        <v>651,895 / 651,895</v>
      </c>
      <c r="K357" s="244">
        <v>0</v>
      </c>
      <c r="L357" s="28"/>
      <c r="M357" s="28" t="str">
        <f>CONCATENATE(SUMIF($E$6:$E357,$E357,$P$6:$P$370)," / ",SUMIF($E$6:$E$370,$E357,$P$6:$P$370))</f>
        <v>0 / 0</v>
      </c>
      <c r="N357" s="28" t="str">
        <f ca="1">CONCATENATE(SUMIF($F$6:$F357,$F357,$P357)," / ",SUMIF($F$6:$F$370,$F357,$P$6:$P$370))</f>
        <v>0 / 0</v>
      </c>
      <c r="O357" s="28" t="str">
        <f>CONCATENATE(SUM($P$6:$P357)," / ",SUM($P$6:$P721))</f>
        <v>528 / 528</v>
      </c>
      <c r="P357" s="244">
        <v>0</v>
      </c>
      <c r="Q357" s="28"/>
      <c r="R357" s="245">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399">
        <v>42722</v>
      </c>
      <c r="C358" s="35" t="str">
        <f t="shared" si="23"/>
        <v>Dimanche</v>
      </c>
      <c r="D358" s="35">
        <f t="shared" si="26"/>
        <v>353</v>
      </c>
      <c r="E358" s="124">
        <f t="shared" si="24"/>
        <v>52</v>
      </c>
      <c r="F358" s="124">
        <f t="shared" si="27"/>
        <v>12</v>
      </c>
      <c r="G358" s="27"/>
      <c r="H358" s="28" t="str">
        <f>CONCATENATE(SUMIF($E$6:$E358,$E358,$K$6:$K$370)," / ",SUMIF($E$6:$E$370,$E358,$K$6:$K$370))</f>
        <v>0 / 0</v>
      </c>
      <c r="I358" s="28" t="str">
        <f>CONCATENATE(SUMIF($F$6:$F358,$F358,$K$6:$K$370)," / ",SUMIF($F$6:$F$370,$F358,$K$6:$K$370))</f>
        <v>0 / 0</v>
      </c>
      <c r="J358" s="28" t="str">
        <f>CONCATENATE(SUM($K$6:$K358)," / ",SUM($K$6:$K$370))</f>
        <v>651,895 / 651,895</v>
      </c>
      <c r="K358" s="244">
        <v>0</v>
      </c>
      <c r="L358" s="28"/>
      <c r="M358" s="28" t="str">
        <f>CONCATENATE(SUMIF($E$6:$E358,$E358,$P$6:$P$370)," / ",SUMIF($E$6:$E$370,$E358,$P$6:$P$370))</f>
        <v>0 / 0</v>
      </c>
      <c r="N358" s="28" t="str">
        <f ca="1">CONCATENATE(SUMIF($F$6:$F358,$F358,$P358)," / ",SUMIF($F$6:$F$370,$F358,$P$6:$P$370))</f>
        <v>0 / 0</v>
      </c>
      <c r="O358" s="28" t="str">
        <f>CONCATENATE(SUM($P$6:$P358)," / ",SUM($P$6:$P722))</f>
        <v>528 / 528</v>
      </c>
      <c r="P358" s="244">
        <v>0</v>
      </c>
      <c r="Q358" s="28"/>
      <c r="R358" s="245">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399">
        <v>42723</v>
      </c>
      <c r="C359" s="35" t="str">
        <f t="shared" si="23"/>
        <v>Lundi</v>
      </c>
      <c r="D359" s="35">
        <f t="shared" si="26"/>
        <v>354</v>
      </c>
      <c r="E359" s="124">
        <f t="shared" si="24"/>
        <v>52</v>
      </c>
      <c r="F359" s="124">
        <f t="shared" si="27"/>
        <v>12</v>
      </c>
      <c r="G359" s="27"/>
      <c r="H359" s="28" t="str">
        <f>CONCATENATE(SUMIF($E$6:$E359,$E359,$K$6:$K$370)," / ",SUMIF($E$6:$E$370,$E359,$K$6:$K$370))</f>
        <v>0 / 0</v>
      </c>
      <c r="I359" s="28" t="str">
        <f>CONCATENATE(SUMIF($F$6:$F359,$F359,$K$6:$K$370)," / ",SUMIF($F$6:$F$370,$F359,$K$6:$K$370))</f>
        <v>0 / 0</v>
      </c>
      <c r="J359" s="28" t="str">
        <f>CONCATENATE(SUM($K$6:$K359)," / ",SUM($K$6:$K$370))</f>
        <v>651,895 / 651,895</v>
      </c>
      <c r="K359" s="244">
        <v>0</v>
      </c>
      <c r="L359" s="28"/>
      <c r="M359" s="28" t="str">
        <f>CONCATENATE(SUMIF($E$6:$E359,$E359,$P$6:$P$370)," / ",SUMIF($E$6:$E$370,$E359,$P$6:$P$370))</f>
        <v>0 / 0</v>
      </c>
      <c r="N359" s="28" t="str">
        <f ca="1">CONCATENATE(SUMIF($F$6:$F359,$F359,$P359)," / ",SUMIF($F$6:$F$370,$F359,$P$6:$P$370))</f>
        <v>0 / 0</v>
      </c>
      <c r="O359" s="28" t="str">
        <f>CONCATENATE(SUM($P$6:$P359)," / ",SUM($P$6:$P723))</f>
        <v>528 / 528</v>
      </c>
      <c r="P359" s="244">
        <v>0</v>
      </c>
      <c r="Q359" s="28"/>
      <c r="R359" s="245">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399">
        <v>42724</v>
      </c>
      <c r="C360" s="35" t="str">
        <f t="shared" si="23"/>
        <v>Mardi</v>
      </c>
      <c r="D360" s="35">
        <f t="shared" si="26"/>
        <v>355</v>
      </c>
      <c r="E360" s="124">
        <f t="shared" si="24"/>
        <v>52</v>
      </c>
      <c r="F360" s="124">
        <f t="shared" si="27"/>
        <v>12</v>
      </c>
      <c r="G360" s="27"/>
      <c r="H360" s="28" t="str">
        <f>CONCATENATE(SUMIF($E$6:$E360,$E360,$K$6:$K$370)," / ",SUMIF($E$6:$E$370,$E360,$K$6:$K$370))</f>
        <v>0 / 0</v>
      </c>
      <c r="I360" s="28" t="str">
        <f>CONCATENATE(SUMIF($F$6:$F360,$F360,$K$6:$K$370)," / ",SUMIF($F$6:$F$370,$F360,$K$6:$K$370))</f>
        <v>0 / 0</v>
      </c>
      <c r="J360" s="28" t="str">
        <f>CONCATENATE(SUM($K$6:$K360)," / ",SUM($K$6:$K$370))</f>
        <v>651,895 / 651,895</v>
      </c>
      <c r="K360" s="244">
        <v>0</v>
      </c>
      <c r="L360" s="28"/>
      <c r="M360" s="28" t="str">
        <f>CONCATENATE(SUMIF($E$6:$E360,$E360,$P$6:$P$370)," / ",SUMIF($E$6:$E$370,$E360,$P$6:$P$370))</f>
        <v>0 / 0</v>
      </c>
      <c r="N360" s="28" t="str">
        <f ca="1">CONCATENATE(SUMIF($F$6:$F360,$F360,$P360)," / ",SUMIF($F$6:$F$370,$F360,$P$6:$P$370))</f>
        <v>0 / 0</v>
      </c>
      <c r="O360" s="28" t="str">
        <f>CONCATENATE(SUM($P$6:$P360)," / ",SUM($P$6:$P724))</f>
        <v>528 / 528</v>
      </c>
      <c r="P360" s="244">
        <v>0</v>
      </c>
      <c r="Q360" s="28"/>
      <c r="R360" s="245">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399">
        <v>42725</v>
      </c>
      <c r="C361" s="35" t="str">
        <f t="shared" si="23"/>
        <v>Mercredi</v>
      </c>
      <c r="D361" s="35">
        <f t="shared" si="26"/>
        <v>356</v>
      </c>
      <c r="E361" s="124">
        <f t="shared" si="24"/>
        <v>52</v>
      </c>
      <c r="F361" s="124">
        <f t="shared" si="27"/>
        <v>12</v>
      </c>
      <c r="G361" s="27"/>
      <c r="H361" s="28" t="str">
        <f>CONCATENATE(SUMIF($E$6:$E361,$E361,$K$6:$K$370)," / ",SUMIF($E$6:$E$370,$E361,$K$6:$K$370))</f>
        <v>0 / 0</v>
      </c>
      <c r="I361" s="28" t="str">
        <f>CONCATENATE(SUMIF($F$6:$F361,$F361,$K$6:$K$370)," / ",SUMIF($F$6:$F$370,$F361,$K$6:$K$370))</f>
        <v>0 / 0</v>
      </c>
      <c r="J361" s="28" t="str">
        <f>CONCATENATE(SUM($K$6:$K361)," / ",SUM($K$6:$K$370))</f>
        <v>651,895 / 651,895</v>
      </c>
      <c r="K361" s="244">
        <v>0</v>
      </c>
      <c r="L361" s="28"/>
      <c r="M361" s="28" t="str">
        <f>CONCATENATE(SUMIF($E$6:$E361,$E361,$P$6:$P$370)," / ",SUMIF($E$6:$E$370,$E361,$P$6:$P$370))</f>
        <v>0 / 0</v>
      </c>
      <c r="N361" s="28" t="str">
        <f ca="1">CONCATENATE(SUMIF($F$6:$F361,$F361,$P361)," / ",SUMIF($F$6:$F$370,$F361,$P$6:$P$370))</f>
        <v>0 / 0</v>
      </c>
      <c r="O361" s="28" t="str">
        <f>CONCATENATE(SUM($P$6:$P361)," / ",SUM($P$6:$P725))</f>
        <v>528 / 528</v>
      </c>
      <c r="P361" s="244">
        <v>0</v>
      </c>
      <c r="Q361" s="28"/>
      <c r="R361" s="245">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399">
        <v>42726</v>
      </c>
      <c r="C362" s="35" t="str">
        <f t="shared" si="23"/>
        <v>Jeudi</v>
      </c>
      <c r="D362" s="35">
        <f t="shared" si="26"/>
        <v>357</v>
      </c>
      <c r="E362" s="124">
        <f t="shared" si="24"/>
        <v>52</v>
      </c>
      <c r="F362" s="124">
        <f t="shared" ref="F362:F370" si="28">MONTH(B362)</f>
        <v>12</v>
      </c>
      <c r="G362" s="27"/>
      <c r="H362" s="28" t="str">
        <f>CONCATENATE(SUMIF($E$6:$E362,$E362,$K$6:$K$370)," / ",SUMIF($E$6:$E$370,$E362,$K$6:$K$370))</f>
        <v>0 / 0</v>
      </c>
      <c r="I362" s="28" t="str">
        <f>CONCATENATE(SUMIF($F$6:$F362,$F362,$K$6:$K$370)," / ",SUMIF($F$6:$F$370,$F362,$K$6:$K$370))</f>
        <v>0 / 0</v>
      </c>
      <c r="J362" s="28" t="str">
        <f>CONCATENATE(SUM($K$6:$K362)," / ",SUM($K$6:$K$370))</f>
        <v>651,895 / 651,895</v>
      </c>
      <c r="K362" s="244">
        <v>0</v>
      </c>
      <c r="L362" s="28"/>
      <c r="M362" s="28" t="str">
        <f>CONCATENATE(SUMIF($E$6:$E362,$E362,$P$6:$P$370)," / ",SUMIF($E$6:$E$370,$E362,$P$6:$P$370))</f>
        <v>0 / 0</v>
      </c>
      <c r="N362" s="28" t="str">
        <f ca="1">CONCATENATE(SUMIF($F$6:$F362,$F362,$P362)," / ",SUMIF($F$6:$F$370,$F362,$P$6:$P$370))</f>
        <v>0 / 0</v>
      </c>
      <c r="O362" s="28" t="str">
        <f>CONCATENATE(SUM($P$6:$P362)," / ",SUM($P$6:$P726))</f>
        <v>528 / 528</v>
      </c>
      <c r="P362" s="244">
        <v>0</v>
      </c>
      <c r="Q362" s="28"/>
      <c r="R362" s="245">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399">
        <v>42727</v>
      </c>
      <c r="C363" s="35" t="str">
        <f t="shared" si="23"/>
        <v>Vendredi</v>
      </c>
      <c r="D363" s="35">
        <f t="shared" si="26"/>
        <v>358</v>
      </c>
      <c r="E363" s="124">
        <f t="shared" si="24"/>
        <v>52</v>
      </c>
      <c r="F363" s="124">
        <f t="shared" si="28"/>
        <v>12</v>
      </c>
      <c r="G363" s="27"/>
      <c r="H363" s="28" t="str">
        <f>CONCATENATE(SUMIF($E$6:$E363,$E363,$K$6:$K$370)," / ",SUMIF($E$6:$E$370,$E363,$K$6:$K$370))</f>
        <v>0 / 0</v>
      </c>
      <c r="I363" s="28" t="str">
        <f>CONCATENATE(SUMIF($F$6:$F363,$F363,$K$6:$K$370)," / ",SUMIF($F$6:$F$370,$F363,$K$6:$K$370))</f>
        <v>0 / 0</v>
      </c>
      <c r="J363" s="28" t="str">
        <f>CONCATENATE(SUM($K$6:$K363)," / ",SUM($K$6:$K$370))</f>
        <v>651,895 / 651,895</v>
      </c>
      <c r="K363" s="244">
        <v>0</v>
      </c>
      <c r="L363" s="28"/>
      <c r="M363" s="28" t="str">
        <f>CONCATENATE(SUMIF($E$6:$E363,$E363,$P$6:$P$370)," / ",SUMIF($E$6:$E$370,$E363,$P$6:$P$370))</f>
        <v>0 / 0</v>
      </c>
      <c r="N363" s="28" t="str">
        <f ca="1">CONCATENATE(SUMIF($F$6:$F363,$F363,$P363)," / ",SUMIF($F$6:$F$370,$F363,$P$6:$P$370))</f>
        <v>0 / 0</v>
      </c>
      <c r="O363" s="28" t="str">
        <f>CONCATENATE(SUM($P$6:$P363)," / ",SUM($P$6:$P727))</f>
        <v>528 / 528</v>
      </c>
      <c r="P363" s="244">
        <v>0</v>
      </c>
      <c r="Q363" s="28"/>
      <c r="R363" s="245">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399">
        <v>42728</v>
      </c>
      <c r="C364" s="35" t="str">
        <f t="shared" si="23"/>
        <v>Samedi</v>
      </c>
      <c r="D364" s="35">
        <f t="shared" si="26"/>
        <v>359</v>
      </c>
      <c r="E364" s="124">
        <f t="shared" si="24"/>
        <v>52</v>
      </c>
      <c r="F364" s="124">
        <f t="shared" si="28"/>
        <v>12</v>
      </c>
      <c r="G364" s="27"/>
      <c r="H364" s="28" t="str">
        <f>CONCATENATE(SUMIF($E$6:$E364,$E364,$K$6:$K$370)," / ",SUMIF($E$6:$E$370,$E364,$K$6:$K$370))</f>
        <v>0 / 0</v>
      </c>
      <c r="I364" s="28" t="str">
        <f>CONCATENATE(SUMIF($F$6:$F364,$F364,$K$6:$K$370)," / ",SUMIF($F$6:$F$370,$F364,$K$6:$K$370))</f>
        <v>0 / 0</v>
      </c>
      <c r="J364" s="28" t="str">
        <f>CONCATENATE(SUM($K$6:$K364)," / ",SUM($K$6:$K$370))</f>
        <v>651,895 / 651,895</v>
      </c>
      <c r="K364" s="244">
        <v>0</v>
      </c>
      <c r="L364" s="28"/>
      <c r="M364" s="28" t="str">
        <f>CONCATENATE(SUMIF($E$6:$E364,$E364,$P$6:$P$370)," / ",SUMIF($E$6:$E$370,$E364,$P$6:$P$370))</f>
        <v>0 / 0</v>
      </c>
      <c r="N364" s="28" t="str">
        <f ca="1">CONCATENATE(SUMIF($F$6:$F364,$F364,$P364)," / ",SUMIF($F$6:$F$370,$F364,$P$6:$P$370))</f>
        <v>0 / 0</v>
      </c>
      <c r="O364" s="28" t="str">
        <f>CONCATENATE(SUM($P$6:$P364)," / ",SUM($P$6:$P728))</f>
        <v>528 / 528</v>
      </c>
      <c r="P364" s="244">
        <v>0</v>
      </c>
      <c r="Q364" s="28"/>
      <c r="R364" s="245">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399">
        <v>42729</v>
      </c>
      <c r="C365" s="35" t="str">
        <f t="shared" si="23"/>
        <v>Dimanche</v>
      </c>
      <c r="D365" s="35">
        <f t="shared" si="26"/>
        <v>360</v>
      </c>
      <c r="E365" s="124">
        <f t="shared" si="24"/>
        <v>53</v>
      </c>
      <c r="F365" s="124">
        <f t="shared" si="28"/>
        <v>12</v>
      </c>
      <c r="G365" s="27"/>
      <c r="H365" s="28" t="str">
        <f>CONCATENATE(SUMIF($E$6:$E365,$E365,$K$6:$K$370)," / ",SUMIF($E$6:$E$370,$E365,$K$6:$K$370))</f>
        <v>0 / 0</v>
      </c>
      <c r="I365" s="28" t="str">
        <f>CONCATENATE(SUMIF($F$6:$F365,$F365,$K$6:$K$370)," / ",SUMIF($F$6:$F$370,$F365,$K$6:$K$370))</f>
        <v>0 / 0</v>
      </c>
      <c r="J365" s="28" t="str">
        <f>CONCATENATE(SUM($K$6:$K365)," / ",SUM($K$6:$K$370))</f>
        <v>651,895 / 651,895</v>
      </c>
      <c r="K365" s="244">
        <v>0</v>
      </c>
      <c r="L365" s="28"/>
      <c r="M365" s="28" t="str">
        <f>CONCATENATE(SUMIF($E$6:$E365,$E365,$P$6:$P$370)," / ",SUMIF($E$6:$E$370,$E365,$P$6:$P$370))</f>
        <v>0 / 0</v>
      </c>
      <c r="N365" s="28" t="str">
        <f ca="1">CONCATENATE(SUMIF($F$6:$F365,$F365,$P365)," / ",SUMIF($F$6:$F$370,$F365,$P$6:$P$370))</f>
        <v>0 / 0</v>
      </c>
      <c r="O365" s="28" t="str">
        <f>CONCATENATE(SUM($P$6:$P365)," / ",SUM($P$6:$P729))</f>
        <v>528 / 528</v>
      </c>
      <c r="P365" s="244">
        <v>0</v>
      </c>
      <c r="Q365" s="28"/>
      <c r="R365" s="245">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399">
        <v>42730</v>
      </c>
      <c r="C366" s="35" t="str">
        <f t="shared" si="23"/>
        <v>Lundi</v>
      </c>
      <c r="D366" s="35">
        <f t="shared" si="26"/>
        <v>361</v>
      </c>
      <c r="E366" s="124">
        <f t="shared" si="24"/>
        <v>53</v>
      </c>
      <c r="F366" s="124">
        <f t="shared" si="28"/>
        <v>12</v>
      </c>
      <c r="G366" s="27"/>
      <c r="H366" s="28" t="str">
        <f>CONCATENATE(SUMIF($E$6:$E366,$E366,$K$6:$K$370)," / ",SUMIF($E$6:$E$370,$E366,$K$6:$K$370))</f>
        <v>0 / 0</v>
      </c>
      <c r="I366" s="28" t="str">
        <f>CONCATENATE(SUMIF($F$6:$F366,$F366,$K$6:$K$370)," / ",SUMIF($F$6:$F$370,$F366,$K$6:$K$370))</f>
        <v>0 / 0</v>
      </c>
      <c r="J366" s="28" t="str">
        <f>CONCATENATE(SUM($K$6:$K366)," / ",SUM($K$6:$K$370))</f>
        <v>651,895 / 651,895</v>
      </c>
      <c r="K366" s="244">
        <v>0</v>
      </c>
      <c r="L366" s="28"/>
      <c r="M366" s="28" t="str">
        <f>CONCATENATE(SUMIF($E$6:$E366,$E366,$P$6:$P$370)," / ",SUMIF($E$6:$E$370,$E366,$P$6:$P$370))</f>
        <v>0 / 0</v>
      </c>
      <c r="N366" s="28" t="str">
        <f ca="1">CONCATENATE(SUMIF($F$6:$F366,$F366,$P366)," / ",SUMIF($F$6:$F$370,$F366,$P$6:$P$370))</f>
        <v>0 / 0</v>
      </c>
      <c r="O366" s="28" t="str">
        <f>CONCATENATE(SUM($P$6:$P366)," / ",SUM($P$6:$P730))</f>
        <v>528 / 528</v>
      </c>
      <c r="P366" s="244">
        <v>0</v>
      </c>
      <c r="Q366" s="28"/>
      <c r="R366" s="245">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399">
        <v>42731</v>
      </c>
      <c r="C367" s="35" t="str">
        <f t="shared" si="23"/>
        <v>Mardi</v>
      </c>
      <c r="D367" s="35">
        <f t="shared" si="26"/>
        <v>362</v>
      </c>
      <c r="E367" s="124">
        <f t="shared" si="24"/>
        <v>53</v>
      </c>
      <c r="F367" s="124">
        <f t="shared" si="28"/>
        <v>12</v>
      </c>
      <c r="G367" s="27"/>
      <c r="H367" s="28" t="str">
        <f>CONCATENATE(SUMIF($E$6:$E367,$E367,$K$6:$K$370)," / ",SUMIF($E$6:$E$370,$E367,$K$6:$K$370))</f>
        <v>0 / 0</v>
      </c>
      <c r="I367" s="28" t="str">
        <f>CONCATENATE(SUMIF($F$6:$F367,$F367,$K$6:$K$370)," / ",SUMIF($F$6:$F$370,$F367,$K$6:$K$370))</f>
        <v>0 / 0</v>
      </c>
      <c r="J367" s="28" t="str">
        <f>CONCATENATE(SUM($K$6:$K367)," / ",SUM($K$6:$K$370))</f>
        <v>651,895 / 651,895</v>
      </c>
      <c r="K367" s="244">
        <v>0</v>
      </c>
      <c r="L367" s="28"/>
      <c r="M367" s="28" t="str">
        <f>CONCATENATE(SUMIF($E$6:$E367,$E367,$P$6:$P$370)," / ",SUMIF($E$6:$E$370,$E367,$P$6:$P$370))</f>
        <v>0 / 0</v>
      </c>
      <c r="N367" s="28" t="str">
        <f ca="1">CONCATENATE(SUMIF($F$6:$F367,$F367,$P367)," / ",SUMIF($F$6:$F$370,$F367,$P$6:$P$370))</f>
        <v>0 / 0</v>
      </c>
      <c r="O367" s="28" t="str">
        <f>CONCATENATE(SUM($P$6:$P367)," / ",SUM($P$6:$P731))</f>
        <v>528 / 528</v>
      </c>
      <c r="P367" s="244">
        <v>0</v>
      </c>
      <c r="Q367" s="28"/>
      <c r="R367" s="245">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399">
        <v>42732</v>
      </c>
      <c r="C368" s="35" t="str">
        <f t="shared" si="23"/>
        <v>Mercredi</v>
      </c>
      <c r="D368" s="35">
        <f t="shared" si="26"/>
        <v>363</v>
      </c>
      <c r="E368" s="124">
        <f t="shared" si="24"/>
        <v>53</v>
      </c>
      <c r="F368" s="124">
        <f t="shared" si="28"/>
        <v>12</v>
      </c>
      <c r="G368" s="27"/>
      <c r="H368" s="28" t="str">
        <f>CONCATENATE(SUMIF($E$6:$E368,$E368,$K$6:$K$370)," / ",SUMIF($E$6:$E$370,$E368,$K$6:$K$370))</f>
        <v>0 / 0</v>
      </c>
      <c r="I368" s="28" t="str">
        <f>CONCATENATE(SUMIF($F$6:$F368,$F368,$K$6:$K$370)," / ",SUMIF($F$6:$F$370,$F368,$K$6:$K$370))</f>
        <v>0 / 0</v>
      </c>
      <c r="J368" s="28" t="str">
        <f>CONCATENATE(SUM($K$6:$K368)," / ",SUM($K$6:$K$370))</f>
        <v>651,895 / 651,895</v>
      </c>
      <c r="K368" s="244">
        <v>0</v>
      </c>
      <c r="L368" s="28"/>
      <c r="M368" s="28" t="str">
        <f>CONCATENATE(SUMIF($E$6:$E368,$E368,$P$6:$P$370)," / ",SUMIF($E$6:$E$370,$E368,$P$6:$P$370))</f>
        <v>0 / 0</v>
      </c>
      <c r="N368" s="28" t="str">
        <f ca="1">CONCATENATE(SUMIF($F$6:$F368,$F368,$P368)," / ",SUMIF($F$6:$F$370,$F368,$P$6:$P$370))</f>
        <v>0 / 0</v>
      </c>
      <c r="O368" s="28" t="str">
        <f>CONCATENATE(SUM($P$6:$P368)," / ",SUM($P$6:$P732))</f>
        <v>528 / 528</v>
      </c>
      <c r="P368" s="244">
        <v>0</v>
      </c>
      <c r="Q368" s="28"/>
      <c r="R368" s="245">
        <v>0</v>
      </c>
      <c r="S368" s="28" t="str">
        <f>CONCATENATE(SUMIF($E$6:$E368,E368,$R$6:$R$370)," / ",SUMIF($E$6:$E$370,E368,$R$6:$R$370))</f>
        <v>0 / 0</v>
      </c>
      <c r="T368" s="28" t="str">
        <f>CONCATENATE(SUMIF($F$6:$F368,$F368,$R$6:$R$370)," / ",SUMIF($F$6:$F$370,$F368,$R$6:$R$370))</f>
        <v>0 / 0</v>
      </c>
      <c r="U368" s="28" t="str">
        <f>CONCATENATE(SUM($R$6:$R368)," / ",SUM($R$6:$R$370))</f>
        <v>0 / 0</v>
      </c>
    </row>
    <row r="369" spans="2:21" ht="13" thickBot="1">
      <c r="B369" s="399">
        <v>42733</v>
      </c>
      <c r="C369" s="35" t="str">
        <f t="shared" si="23"/>
        <v>Jeudi</v>
      </c>
      <c r="D369" s="35">
        <f t="shared" si="26"/>
        <v>364</v>
      </c>
      <c r="E369" s="124">
        <f t="shared" si="24"/>
        <v>53</v>
      </c>
      <c r="F369" s="124">
        <f t="shared" si="28"/>
        <v>12</v>
      </c>
      <c r="G369" s="27"/>
      <c r="H369" s="28" t="str">
        <f>CONCATENATE(SUMIF($E$6:$E369,$E369,$K$6:$K$370)," / ",SUMIF($E$6:$E$370,$E369,$K$6:$K$370))</f>
        <v>0 / 0</v>
      </c>
      <c r="I369" s="28" t="str">
        <f>CONCATENATE(SUMIF($F$6:$F369,$F369,$K$6:$K$370)," / ",SUMIF($F$6:$F$370,$F369,$K$6:$K$370))</f>
        <v>0 / 0</v>
      </c>
      <c r="J369" s="28" t="str">
        <f>CONCATENATE(SUM($K$6:$K369)," / ",SUM($K$6:$K$370))</f>
        <v>651,895 / 651,895</v>
      </c>
      <c r="K369" s="244">
        <v>0</v>
      </c>
      <c r="L369" s="28"/>
      <c r="M369" s="28" t="str">
        <f>CONCATENATE(SUMIF($E$6:$E369,$E369,$P$6:$P$370)," / ",SUMIF($E$6:$E$370,$E369,$P$6:$P$370))</f>
        <v>0 / 0</v>
      </c>
      <c r="N369" s="28" t="str">
        <f ca="1">CONCATENATE(SUMIF($F$6:$F369,$F369,$P369)," / ",SUMIF($F$6:$F$370,$F369,$P$6:$P$370))</f>
        <v>0 / 0</v>
      </c>
      <c r="O369" s="28" t="str">
        <f>CONCATENATE(SUM($P$6:$P369)," / ",SUM($P$6:$P733))</f>
        <v>528 / 528</v>
      </c>
      <c r="P369" s="244">
        <v>0</v>
      </c>
      <c r="Q369" s="28"/>
      <c r="R369" s="245">
        <v>0</v>
      </c>
      <c r="S369" s="28" t="str">
        <f>CONCATENATE(SUMIF($E$6:$E369,E369,$R$6:$R$370)," / ",SUMIF($E$6:$E$370,E369,$R$6:$R$370))</f>
        <v>0 / 0</v>
      </c>
      <c r="T369" s="28" t="str">
        <f>CONCATENATE(SUMIF($F$6:$F369,$F369,$R$6:$R$370)," / ",SUMIF($F$6:$F$370,$F369,$R$6:$R$370))</f>
        <v>0 / 0</v>
      </c>
      <c r="U369" s="28" t="str">
        <f>CONCATENATE(SUM($R$6:$R369)," / ",SUM($R$6:$R$370))</f>
        <v>0 / 0</v>
      </c>
    </row>
    <row r="370" spans="2:21" ht="12" customHeight="1" thickBot="1">
      <c r="B370" s="399">
        <v>42734</v>
      </c>
      <c r="C370" s="35" t="str">
        <f t="shared" si="23"/>
        <v>Vendredi</v>
      </c>
      <c r="D370" s="35">
        <f t="shared" si="26"/>
        <v>365</v>
      </c>
      <c r="E370" s="124">
        <f t="shared" si="24"/>
        <v>53</v>
      </c>
      <c r="F370" s="124">
        <f t="shared" si="28"/>
        <v>12</v>
      </c>
      <c r="G370" s="27"/>
      <c r="H370" s="28" t="str">
        <f>CONCATENATE(SUMIF($E$6:$E370,$E370,$K$6:$K$370)," / ",SUMIF($E$6:$E$370,$E370,$K$6:$K$370))</f>
        <v>0 / 0</v>
      </c>
      <c r="I370" s="28" t="str">
        <f>CONCATENATE(SUMIF($F$6:$F370,$F370,$K$6:$K$370)," / ",SUMIF($F$6:$F$370,$F370,$K$6:$K$370))</f>
        <v>0 / 0</v>
      </c>
      <c r="J370" s="28" t="str">
        <f>CONCATENATE(SUM($K$6:$K370)," / ",SUM($K$6:$K$370))</f>
        <v>651,895 / 651,895</v>
      </c>
      <c r="K370" s="244">
        <v>0</v>
      </c>
      <c r="L370" s="28"/>
      <c r="M370" s="28" t="str">
        <f>CONCATENATE(SUMIF($E$6:$E370,$E370,$P$6:$P$370)," / ",SUMIF($E$6:$E$370,$E370,$P$6:$P$370))</f>
        <v>0 / 0</v>
      </c>
      <c r="N370" s="28" t="str">
        <f ca="1">CONCATENATE(SUMIF($F$6:$F370,$F370,$P370)," / ",SUMIF($F$6:$F$370,$F370,$P$6:$P$370))</f>
        <v>0 / 0</v>
      </c>
      <c r="O370" s="28" t="str">
        <f>CONCATENATE(SUM($P$6:$P370)," / ",SUM($P$6:$P734))</f>
        <v>528 / 528</v>
      </c>
      <c r="P370" s="244">
        <v>0</v>
      </c>
      <c r="Q370" s="28"/>
      <c r="R370" s="245">
        <v>0</v>
      </c>
      <c r="S370" s="28" t="str">
        <f>CONCATENATE(SUMIF($E$6:$E370,E370,$R$6:$R$370)," / ",SUMIF($E$6:$E$370,E370,$R$6:$R$370))</f>
        <v>0 / 0</v>
      </c>
      <c r="T370" s="28" t="str">
        <f>CONCATENATE(SUMIF($F$6:$F370,$F370,$R$6:$R$370)," / ",SUMIF($F$6:$F$370,$F370,$R$6:$R$370))</f>
        <v>0 / 0</v>
      </c>
      <c r="U370" s="28" t="str">
        <f>CONCATENATE(SUM($R$6:$R370)," / ",SUM($R$6:$R$370))</f>
        <v>0 / 0</v>
      </c>
    </row>
  </sheetData>
  <mergeCells count="5">
    <mergeCell ref="H4:L4"/>
    <mergeCell ref="M4:Q4"/>
    <mergeCell ref="R4:U4"/>
    <mergeCell ref="B4:G4"/>
    <mergeCell ref="B2:U2"/>
  </mergeCells>
  <conditionalFormatting sqref="K26:N26 P26:U26">
    <cfRule type="cellIs" dxfId="13"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65" t="s">
        <v>293</v>
      </c>
      <c r="B1" s="466"/>
      <c r="C1" s="466"/>
      <c r="D1" s="466"/>
      <c r="E1" s="466"/>
      <c r="F1" s="466"/>
      <c r="G1" s="466"/>
      <c r="H1" s="466"/>
      <c r="I1" s="466"/>
      <c r="J1" s="466"/>
      <c r="K1" s="466"/>
      <c r="L1" s="466"/>
      <c r="M1" s="466"/>
      <c r="N1" s="466"/>
      <c r="O1" s="467"/>
    </row>
    <row r="2" spans="1:15" ht="12.75" customHeight="1"/>
    <row r="3" spans="1:15">
      <c r="A3" s="37" t="s">
        <v>294</v>
      </c>
      <c r="J3" s="95"/>
    </row>
    <row r="4" spans="1:15" ht="7.5" customHeight="1" thickBot="1">
      <c r="A4" s="37"/>
      <c r="J4" s="95"/>
    </row>
    <row r="5" spans="1:15" ht="13" thickBot="1">
      <c r="A5" s="171" t="s">
        <v>295</v>
      </c>
      <c r="B5" s="172">
        <v>98.3</v>
      </c>
      <c r="C5" s="118"/>
      <c r="D5" s="171" t="s">
        <v>296</v>
      </c>
      <c r="E5" s="468">
        <v>5549</v>
      </c>
      <c r="F5" s="469"/>
      <c r="G5" s="171" t="s">
        <v>297</v>
      </c>
      <c r="H5" s="173">
        <v>5734</v>
      </c>
      <c r="I5" s="154"/>
      <c r="K5" s="174" t="s">
        <v>298</v>
      </c>
      <c r="L5" s="174"/>
      <c r="M5" s="36" t="s">
        <v>299</v>
      </c>
    </row>
    <row r="6" spans="1:15" ht="13" thickBot="1">
      <c r="M6" s="36" t="s">
        <v>300</v>
      </c>
    </row>
    <row r="7" spans="1:15" ht="12.75" customHeight="1">
      <c r="E7" s="470">
        <f>IF(OR(B5="",B5=0),"",SUM(B5+(0.00000012*E5*E5)+(0.00572*E5)+(0.00000012*H5*H5)+(0.0005*H5)))</f>
        <v>140.54769883999998</v>
      </c>
      <c r="F7" s="471"/>
      <c r="G7" s="175"/>
      <c r="L7" s="36" t="s">
        <v>301</v>
      </c>
      <c r="M7" s="36" t="s">
        <v>302</v>
      </c>
    </row>
    <row r="8" spans="1:15" ht="13.5" customHeight="1" thickBot="1">
      <c r="A8" s="456" t="s">
        <v>303</v>
      </c>
      <c r="B8" s="456"/>
      <c r="C8" s="456"/>
      <c r="D8" s="474"/>
      <c r="E8" s="472"/>
      <c r="F8" s="473"/>
      <c r="G8" s="175"/>
      <c r="L8" s="36" t="s">
        <v>304</v>
      </c>
      <c r="M8" s="36" t="s">
        <v>305</v>
      </c>
    </row>
    <row r="9" spans="1:15">
      <c r="G9" s="44"/>
      <c r="L9" s="36" t="s">
        <v>306</v>
      </c>
      <c r="M9" s="176">
        <v>0.2</v>
      </c>
      <c r="O9" s="177"/>
    </row>
    <row r="10" spans="1:15">
      <c r="A10" s="37" t="s">
        <v>307</v>
      </c>
      <c r="L10" s="36" t="s">
        <v>308</v>
      </c>
      <c r="M10" s="176">
        <v>0.7</v>
      </c>
    </row>
    <row r="11" spans="1:15">
      <c r="A11" s="64" t="s">
        <v>309</v>
      </c>
      <c r="L11" s="36" t="s">
        <v>310</v>
      </c>
      <c r="M11" s="176">
        <v>0.1</v>
      </c>
    </row>
    <row r="12" spans="1:15" ht="6.75" customHeight="1" thickBot="1">
      <c r="A12" s="37"/>
    </row>
    <row r="13" spans="1:15">
      <c r="B13" s="458" t="s">
        <v>311</v>
      </c>
      <c r="C13" s="458"/>
      <c r="D13" s="458"/>
      <c r="E13" s="178">
        <v>20</v>
      </c>
    </row>
    <row r="14" spans="1:15">
      <c r="B14" s="458" t="s">
        <v>312</v>
      </c>
      <c r="C14" s="458"/>
      <c r="D14" s="458"/>
      <c r="E14" s="179">
        <v>70</v>
      </c>
    </row>
    <row r="15" spans="1:15">
      <c r="B15" s="458" t="s">
        <v>313</v>
      </c>
      <c r="C15" s="458"/>
      <c r="D15" s="458"/>
      <c r="E15" s="179">
        <v>10</v>
      </c>
    </row>
    <row r="16" spans="1:15">
      <c r="B16" s="458" t="s">
        <v>314</v>
      </c>
      <c r="C16" s="458"/>
      <c r="D16" s="458"/>
      <c r="E16" s="179"/>
    </row>
    <row r="17" spans="1:13" ht="13" thickBot="1">
      <c r="B17" s="458" t="s">
        <v>315</v>
      </c>
      <c r="C17" s="458"/>
      <c r="D17" s="458"/>
      <c r="E17" s="180"/>
    </row>
    <row r="18" spans="1:13" ht="7.5" customHeight="1">
      <c r="B18" s="48"/>
      <c r="C18" s="48"/>
      <c r="D18" s="44"/>
    </row>
    <row r="19" spans="1:13" ht="13" thickBot="1">
      <c r="B19" s="459" t="str">
        <f>IF(E19=100,"","il faut 100% !!")</f>
        <v/>
      </c>
      <c r="C19" s="459"/>
      <c r="D19" s="459"/>
      <c r="E19" s="181">
        <f>SUM(E13:E18)</f>
        <v>100</v>
      </c>
      <c r="F19" s="48" t="s">
        <v>316</v>
      </c>
    </row>
    <row r="20" spans="1:13" ht="12.75" customHeight="1">
      <c r="J20" s="460">
        <f>IF(E7="","",IF(E19=0,E7,SUM(((E13/100)+((E14*1.0204)/100)+((E15*1.0526)/100)+((E16*1.1364)/100)+((E17*1.25)/100))*E7)))</f>
        <v>143.29400087533355</v>
      </c>
      <c r="K20" s="461"/>
    </row>
    <row r="21" spans="1:13" ht="13.5" customHeight="1" thickBot="1">
      <c r="A21" s="456" t="s">
        <v>317</v>
      </c>
      <c r="B21" s="456"/>
      <c r="C21" s="456"/>
      <c r="D21" s="456"/>
      <c r="E21" s="456"/>
      <c r="F21" s="456"/>
      <c r="G21" s="456"/>
      <c r="H21" s="456"/>
      <c r="I21" s="464"/>
      <c r="J21" s="462"/>
      <c r="K21" s="463"/>
    </row>
    <row r="22" spans="1:13" ht="13.5" customHeight="1"/>
    <row r="23" spans="1:13" ht="13.5" customHeight="1" thickBot="1">
      <c r="A23" s="37" t="s">
        <v>318</v>
      </c>
    </row>
    <row r="24" spans="1:13" ht="13" thickBot="1">
      <c r="H24" s="451" t="s">
        <v>319</v>
      </c>
      <c r="I24" s="451"/>
      <c r="J24" s="451"/>
      <c r="K24" s="451"/>
      <c r="L24" s="452" t="s">
        <v>320</v>
      </c>
      <c r="M24" s="453"/>
    </row>
    <row r="25" spans="1:13" ht="13" thickBot="1">
      <c r="A25" s="37"/>
      <c r="B25" s="41">
        <v>28</v>
      </c>
      <c r="C25" s="36" t="s">
        <v>260</v>
      </c>
      <c r="D25" s="42"/>
      <c r="E25" s="36" t="s">
        <v>321</v>
      </c>
      <c r="F25" s="42"/>
      <c r="G25" s="36" t="s">
        <v>177</v>
      </c>
      <c r="H25" s="451"/>
      <c r="I25" s="451"/>
      <c r="J25" s="451"/>
      <c r="K25" s="451"/>
      <c r="L25" s="454"/>
      <c r="M25" s="455"/>
    </row>
    <row r="26" spans="1:13">
      <c r="D26" s="44"/>
    </row>
    <row r="27" spans="1:13">
      <c r="A27" s="37" t="s">
        <v>322</v>
      </c>
    </row>
    <row r="28" spans="1:13" ht="13" thickBot="1">
      <c r="A28" s="37"/>
    </row>
    <row r="29" spans="1:13" ht="13" thickBot="1">
      <c r="B29" s="456" t="s">
        <v>323</v>
      </c>
      <c r="C29" s="456"/>
      <c r="D29" s="456"/>
      <c r="G29" s="182">
        <f>IF(OR(OR(B5="",B5=0),AND(OR(B25="",B25=0),OR(D25="",D25=0),OR(F25="",F25=0))),"",SUM((B5/(B25+(D25/60)+(F25/3600)))))</f>
        <v>3.5107142857142857</v>
      </c>
    </row>
    <row r="30" spans="1:13" ht="7.5" customHeight="1" thickBot="1">
      <c r="G30" s="66"/>
    </row>
    <row r="31" spans="1:13" ht="13" thickBot="1">
      <c r="B31" s="37" t="s">
        <v>324</v>
      </c>
      <c r="G31" s="182">
        <f>IF(OR(OR(E7="",E7=0),AND(OR(B25="",B25=0),OR(D25="",D25=0),OR(F25="",F25=0))),"",SUM((E7/(B25+(D25/60)+(F25/3600)))))</f>
        <v>5.0195606728571418</v>
      </c>
      <c r="I31" s="457" t="str">
        <f>IF([1]allures!E47="","","rappel de la vitesse en endurance passive :")</f>
        <v>rappel de la vitesse en endurance passive :</v>
      </c>
      <c r="J31" s="457"/>
      <c r="K31" s="457"/>
      <c r="L31" s="457"/>
      <c r="M31" s="457"/>
    </row>
    <row r="32" spans="1:13" ht="7.5" customHeight="1" thickBot="1">
      <c r="G32" s="66"/>
      <c r="I32" s="457"/>
      <c r="J32" s="457"/>
      <c r="K32" s="457"/>
      <c r="L32" s="457"/>
      <c r="M32" s="457"/>
    </row>
    <row r="33" spans="1:12" ht="13" thickBot="1">
      <c r="B33" s="37" t="s">
        <v>325</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326</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B4" sqref="B4:M20"/>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411" t="s">
        <v>120</v>
      </c>
      <c r="C2" s="412"/>
      <c r="D2" s="412"/>
      <c r="E2" s="412"/>
      <c r="F2" s="412"/>
      <c r="G2" s="412"/>
      <c r="H2" s="412"/>
      <c r="I2" s="413"/>
    </row>
    <row r="3" spans="1:13" ht="13" thickBot="1">
      <c r="K3" s="2"/>
    </row>
    <row r="4" spans="1:13" ht="37" thickBot="1">
      <c r="B4" s="20" t="s">
        <v>345</v>
      </c>
      <c r="C4" s="20" t="s">
        <v>346</v>
      </c>
      <c r="D4" s="20" t="s">
        <v>348</v>
      </c>
      <c r="E4" s="20" t="s">
        <v>301</v>
      </c>
      <c r="F4" s="20" t="s">
        <v>347</v>
      </c>
      <c r="G4" s="20" t="s">
        <v>349</v>
      </c>
      <c r="H4" s="20" t="s">
        <v>352</v>
      </c>
      <c r="I4" s="125" t="s">
        <v>354</v>
      </c>
      <c r="J4" s="125" t="s">
        <v>353</v>
      </c>
      <c r="K4" s="125" t="s">
        <v>355</v>
      </c>
      <c r="L4" s="125" t="s">
        <v>356</v>
      </c>
      <c r="M4" s="125" t="s">
        <v>357</v>
      </c>
    </row>
    <row r="5" spans="1:13" ht="13" thickBot="1">
      <c r="B5" s="25" t="s">
        <v>350</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65">
        <v>0.1111111111111111</v>
      </c>
      <c r="K5" s="197">
        <f>$C5/(HOUR($J5)+MINUTE($J5)/60+SECOND($J5)/3600)</f>
        <v>9.75</v>
      </c>
      <c r="L5" s="197">
        <f>$G5/(HOUR($J5)+MINUTE($J5)/60+SECOND($J5)/3600)</f>
        <v>10.96875</v>
      </c>
      <c r="M5" s="197">
        <f>$I5/(HOUR($J5)+MINUTE($J5)/60+SECOND($J5)/3600)</f>
        <v>11.456250000000001</v>
      </c>
    </row>
    <row r="6" spans="1:13" ht="13" thickBot="1">
      <c r="B6" s="25" t="s">
        <v>351</v>
      </c>
      <c r="C6" s="24">
        <v>98.3</v>
      </c>
      <c r="D6" s="28">
        <f>IF(C6&lt;20,4,IF(AND(C6&gt;=20,C6&lt;35),5,IF(AND(C6&gt;=35,C6&lt;42.5),6,IF(AND(C6&gt;=42.5,C6&lt;50),7,IF(AND(C6&gt;=50,C6&lt;80),8,IF(AND(C6&gt;=80,C6&lt;120),9,10))))))</f>
        <v>9</v>
      </c>
      <c r="E6" s="28">
        <v>5549</v>
      </c>
      <c r="F6" s="28"/>
      <c r="G6" s="24">
        <f t="shared" si="0"/>
        <v>148.24099999999999</v>
      </c>
      <c r="H6" s="28">
        <v>1</v>
      </c>
      <c r="I6" s="24">
        <f t="shared" si="1"/>
        <v>153.79</v>
      </c>
      <c r="J6" s="266"/>
      <c r="K6" s="24"/>
      <c r="L6" s="24"/>
      <c r="M6" s="24"/>
    </row>
    <row r="7" spans="1:13" ht="13" thickBot="1">
      <c r="B7" s="25" t="s">
        <v>358</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65">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359</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65">
        <v>7.2129629629629641E-2</v>
      </c>
      <c r="K8" s="24">
        <f t="shared" si="2"/>
        <v>9.8202824133504478</v>
      </c>
      <c r="L8" s="24">
        <f t="shared" si="3"/>
        <v>10.444159178433887</v>
      </c>
      <c r="M8" s="24">
        <f t="shared" si="4"/>
        <v>10.60012836970475</v>
      </c>
    </row>
    <row r="9" spans="1:13" ht="13" thickBot="1">
      <c r="B9" s="25" t="s">
        <v>503</v>
      </c>
      <c r="C9" s="24">
        <v>27.5</v>
      </c>
      <c r="D9" s="190">
        <v>9</v>
      </c>
      <c r="E9" s="190">
        <v>1118</v>
      </c>
      <c r="F9" s="24">
        <v>1107</v>
      </c>
      <c r="G9" s="24">
        <f t="shared" si="0"/>
        <v>37.561999999999998</v>
      </c>
      <c r="H9" s="190">
        <v>3</v>
      </c>
      <c r="I9" s="24">
        <f t="shared" si="1"/>
        <v>40.915999999999997</v>
      </c>
      <c r="J9" s="265">
        <v>0.20138888888888887</v>
      </c>
      <c r="K9" s="24">
        <f t="shared" si="2"/>
        <v>5.6896551724137936</v>
      </c>
      <c r="L9" s="24">
        <f t="shared" si="3"/>
        <v>7.7714482758620687</v>
      </c>
      <c r="M9" s="24">
        <f t="shared" si="4"/>
        <v>8.4653793103448276</v>
      </c>
    </row>
    <row r="10" spans="1:13" ht="13" thickBot="1">
      <c r="B10" s="25" t="s">
        <v>517</v>
      </c>
      <c r="C10" s="24">
        <v>26</v>
      </c>
      <c r="D10" s="190">
        <v>8</v>
      </c>
      <c r="E10" s="190">
        <v>1150</v>
      </c>
      <c r="F10" s="24">
        <v>1150</v>
      </c>
      <c r="G10" s="24">
        <f t="shared" si="0"/>
        <v>35.200000000000003</v>
      </c>
      <c r="H10" s="190">
        <v>3</v>
      </c>
      <c r="I10" s="24">
        <f t="shared" si="1"/>
        <v>38.65</v>
      </c>
      <c r="J10" s="267">
        <v>0.15625</v>
      </c>
      <c r="K10" s="24">
        <f t="shared" si="2"/>
        <v>6.9333333333333336</v>
      </c>
      <c r="L10" s="24">
        <f t="shared" si="3"/>
        <v>9.3866666666666667</v>
      </c>
      <c r="M10" s="24">
        <f t="shared" si="4"/>
        <v>10.306666666666667</v>
      </c>
    </row>
    <row r="11" spans="1:13" ht="13" thickBot="1">
      <c r="B11" s="25" t="s">
        <v>519</v>
      </c>
      <c r="C11" s="24">
        <v>51</v>
      </c>
      <c r="D11" s="190">
        <v>5</v>
      </c>
      <c r="E11" s="190">
        <v>1700</v>
      </c>
      <c r="F11" s="24">
        <v>1700</v>
      </c>
      <c r="G11" s="24">
        <f t="shared" si="0"/>
        <v>59.5</v>
      </c>
      <c r="H11" s="190">
        <v>1</v>
      </c>
      <c r="I11" s="24">
        <f t="shared" si="1"/>
        <v>61.2</v>
      </c>
      <c r="J11" s="267">
        <v>0.27083333333333331</v>
      </c>
      <c r="K11" s="24">
        <f t="shared" si="2"/>
        <v>7.8461538461538458</v>
      </c>
      <c r="L11" s="24">
        <f t="shared" si="3"/>
        <v>9.1538461538461533</v>
      </c>
      <c r="M11" s="24">
        <f t="shared" si="4"/>
        <v>9.4153846153846157</v>
      </c>
    </row>
    <row r="12" spans="1:13" ht="13" thickBot="1">
      <c r="B12" s="25" t="s">
        <v>528</v>
      </c>
      <c r="C12" s="24">
        <v>10</v>
      </c>
      <c r="D12" s="190">
        <v>8</v>
      </c>
      <c r="E12" s="190">
        <v>520</v>
      </c>
      <c r="F12" s="24">
        <v>320</v>
      </c>
      <c r="G12" s="24">
        <f t="shared" si="0"/>
        <v>14.16</v>
      </c>
      <c r="H12" s="190">
        <v>3</v>
      </c>
      <c r="I12" s="24">
        <f t="shared" si="1"/>
        <v>15.719999999999999</v>
      </c>
      <c r="J12" s="267">
        <v>5.9027777777777783E-2</v>
      </c>
      <c r="K12" s="24">
        <f t="shared" si="2"/>
        <v>7.0588235294117645</v>
      </c>
      <c r="L12" s="24">
        <f t="shared" si="3"/>
        <v>9.9952941176470578</v>
      </c>
      <c r="M12" s="24">
        <f t="shared" si="4"/>
        <v>11.096470588235293</v>
      </c>
    </row>
    <row r="13" spans="1:13" ht="13" thickBot="1">
      <c r="B13" s="25" t="s">
        <v>530</v>
      </c>
      <c r="C13" s="24">
        <v>42</v>
      </c>
      <c r="D13" s="190">
        <v>9</v>
      </c>
      <c r="E13" s="190">
        <v>3200</v>
      </c>
      <c r="F13" s="24">
        <v>2150</v>
      </c>
      <c r="G13" s="24">
        <f t="shared" si="0"/>
        <v>70.8</v>
      </c>
      <c r="H13" s="190">
        <v>3</v>
      </c>
      <c r="I13" s="24">
        <f t="shared" si="1"/>
        <v>80.400000000000006</v>
      </c>
      <c r="J13" s="267">
        <v>0.29166666666666669</v>
      </c>
      <c r="K13" s="24">
        <f t="shared" si="2"/>
        <v>6</v>
      </c>
      <c r="L13" s="24">
        <f t="shared" si="3"/>
        <v>10.114285714285714</v>
      </c>
      <c r="M13" s="24">
        <f t="shared" si="4"/>
        <v>11.485714285714286</v>
      </c>
    </row>
    <row r="14" spans="1:13" ht="13" thickBot="1">
      <c r="B14" s="25" t="s">
        <v>529</v>
      </c>
      <c r="C14" s="24">
        <v>14</v>
      </c>
      <c r="D14" s="190">
        <v>8</v>
      </c>
      <c r="E14" s="190">
        <v>1400</v>
      </c>
      <c r="F14" s="24">
        <v>1400</v>
      </c>
      <c r="G14" s="24">
        <f t="shared" si="0"/>
        <v>25.2</v>
      </c>
      <c r="H14" s="190">
        <v>3</v>
      </c>
      <c r="I14" s="24">
        <f t="shared" si="1"/>
        <v>29.4</v>
      </c>
      <c r="J14" s="267">
        <v>5.9027777777777783E-2</v>
      </c>
      <c r="K14" s="24">
        <f t="shared" si="2"/>
        <v>9.8823529411764692</v>
      </c>
      <c r="L14" s="24">
        <f t="shared" si="3"/>
        <v>17.788235294117644</v>
      </c>
      <c r="M14" s="24">
        <f t="shared" si="4"/>
        <v>20.752941176470586</v>
      </c>
    </row>
    <row r="15" spans="1:13" ht="13" thickBot="1">
      <c r="A15" s="18" t="s">
        <v>535</v>
      </c>
      <c r="B15" s="25" t="s">
        <v>536</v>
      </c>
      <c r="C15" s="24">
        <v>30</v>
      </c>
      <c r="D15" s="190">
        <v>7</v>
      </c>
      <c r="E15" s="190">
        <v>2341</v>
      </c>
      <c r="F15" s="24">
        <v>1659</v>
      </c>
      <c r="G15" s="24">
        <f t="shared" si="0"/>
        <v>46.387</v>
      </c>
      <c r="H15" s="190">
        <v>3</v>
      </c>
      <c r="I15" s="24">
        <f t="shared" si="1"/>
        <v>53.41</v>
      </c>
      <c r="J15" s="267">
        <v>0.27083333333333331</v>
      </c>
      <c r="K15" s="24">
        <f t="shared" si="2"/>
        <v>4.615384615384615</v>
      </c>
      <c r="L15" s="24">
        <f t="shared" si="3"/>
        <v>7.1364615384615382</v>
      </c>
      <c r="M15" s="24">
        <f t="shared" si="4"/>
        <v>8.2169230769230772</v>
      </c>
    </row>
    <row r="16" spans="1:13" ht="13" thickBot="1">
      <c r="A16" s="18"/>
      <c r="B16" s="25" t="s">
        <v>539</v>
      </c>
      <c r="C16" s="24">
        <v>6</v>
      </c>
      <c r="D16" s="190">
        <v>6</v>
      </c>
      <c r="E16" s="190">
        <v>430</v>
      </c>
      <c r="F16" s="24">
        <v>60</v>
      </c>
      <c r="G16" s="24">
        <f t="shared" si="0"/>
        <v>8.58</v>
      </c>
      <c r="H16" s="190">
        <v>1</v>
      </c>
      <c r="I16" s="24">
        <f t="shared" si="1"/>
        <v>9.01</v>
      </c>
      <c r="J16" s="267">
        <v>6.25E-2</v>
      </c>
      <c r="K16" s="24">
        <f t="shared" si="2"/>
        <v>4</v>
      </c>
      <c r="L16" s="24">
        <f t="shared" si="3"/>
        <v>5.72</v>
      </c>
      <c r="M16" s="24">
        <f t="shared" si="4"/>
        <v>6.0066666666666668</v>
      </c>
    </row>
    <row r="17" spans="1:13" ht="13" thickBot="1">
      <c r="A17" s="18"/>
      <c r="B17" s="25" t="s">
        <v>538</v>
      </c>
      <c r="C17" s="24">
        <v>3.5</v>
      </c>
      <c r="D17" s="190">
        <v>9</v>
      </c>
      <c r="E17" s="190">
        <v>1164</v>
      </c>
      <c r="F17" s="24">
        <v>0</v>
      </c>
      <c r="G17" s="24">
        <f t="shared" si="0"/>
        <v>13.976000000000001</v>
      </c>
      <c r="H17" s="190">
        <v>3</v>
      </c>
      <c r="I17" s="24">
        <f t="shared" si="1"/>
        <v>17.468</v>
      </c>
      <c r="J17" s="267">
        <v>6.6666666666666666E-2</v>
      </c>
      <c r="K17" s="24">
        <f t="shared" si="2"/>
        <v>2.1875</v>
      </c>
      <c r="L17" s="24">
        <f t="shared" si="3"/>
        <v>8.7349999999999994</v>
      </c>
      <c r="M17" s="24">
        <f t="shared" si="4"/>
        <v>10.917499999999999</v>
      </c>
    </row>
    <row r="18" spans="1:13" ht="13" thickBot="1">
      <c r="A18" s="18"/>
      <c r="B18" s="25" t="s">
        <v>537</v>
      </c>
      <c r="C18" s="24">
        <v>20</v>
      </c>
      <c r="D18" s="190">
        <v>7</v>
      </c>
      <c r="E18" s="190">
        <v>1865</v>
      </c>
      <c r="F18" s="24">
        <v>1865</v>
      </c>
      <c r="G18" s="24">
        <f t="shared" si="0"/>
        <v>33.055</v>
      </c>
      <c r="H18" s="190">
        <v>3</v>
      </c>
      <c r="I18" s="24">
        <f t="shared" si="1"/>
        <v>38.65</v>
      </c>
      <c r="J18" s="267">
        <v>0.25</v>
      </c>
      <c r="K18" s="24">
        <f t="shared" si="2"/>
        <v>3.3333333333333335</v>
      </c>
      <c r="L18" s="24">
        <f t="shared" si="3"/>
        <v>5.5091666666666663</v>
      </c>
      <c r="M18" s="24">
        <f t="shared" si="4"/>
        <v>6.4416666666666664</v>
      </c>
    </row>
    <row r="19" spans="1:13" ht="13" thickBot="1">
      <c r="A19" s="18"/>
      <c r="B19" s="25" t="s">
        <v>550</v>
      </c>
      <c r="C19" s="24">
        <v>21.5</v>
      </c>
      <c r="D19" s="190">
        <v>0</v>
      </c>
      <c r="E19" s="190">
        <v>251</v>
      </c>
      <c r="F19" s="24">
        <v>252</v>
      </c>
      <c r="G19" s="24">
        <f t="shared" si="0"/>
        <v>21.5</v>
      </c>
      <c r="H19" s="190">
        <v>0</v>
      </c>
      <c r="I19" s="24">
        <f t="shared" si="1"/>
        <v>21.5</v>
      </c>
      <c r="J19" s="267">
        <v>7.8784722222222228E-2</v>
      </c>
      <c r="K19" s="24">
        <f t="shared" si="2"/>
        <v>11.37064786249449</v>
      </c>
      <c r="L19" s="24">
        <f t="shared" si="3"/>
        <v>11.37064786249449</v>
      </c>
      <c r="M19" s="24">
        <f t="shared" si="4"/>
        <v>11.37064786249449</v>
      </c>
    </row>
    <row r="20" spans="1:13" ht="13" thickBot="1">
      <c r="B20" s="25" t="s">
        <v>141</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65">
        <v>6.2812499999999993E-2</v>
      </c>
      <c r="K20" s="24">
        <f t="shared" si="2"/>
        <v>10.423880597014925</v>
      </c>
      <c r="L20" s="24">
        <f t="shared" si="3"/>
        <v>11.140298507462687</v>
      </c>
      <c r="M20" s="24">
        <f t="shared" si="4"/>
        <v>11.319402985074626</v>
      </c>
    </row>
    <row r="21" spans="1:13">
      <c r="B21"/>
      <c r="D21" s="16"/>
      <c r="E21" s="16"/>
      <c r="H21" s="16"/>
      <c r="J21" s="18" t="s">
        <v>436</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B13" sqref="B13:C3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411" t="s">
        <v>225</v>
      </c>
      <c r="C2" s="412"/>
      <c r="D2" s="412"/>
      <c r="E2" s="412"/>
      <c r="F2" s="412"/>
      <c r="G2" s="412"/>
      <c r="H2" s="412"/>
      <c r="I2" s="413"/>
    </row>
    <row r="3" spans="2:11" ht="13" thickBot="1">
      <c r="K3" s="2"/>
    </row>
    <row r="4" spans="2:11" ht="13" thickBot="1">
      <c r="B4" s="414" t="s">
        <v>226</v>
      </c>
      <c r="C4" s="416"/>
      <c r="E4" s="26" t="s">
        <v>227</v>
      </c>
      <c r="F4" s="119" t="s">
        <v>228</v>
      </c>
      <c r="H4" s="26" t="s">
        <v>229</v>
      </c>
      <c r="I4" s="119" t="s">
        <v>230</v>
      </c>
    </row>
    <row r="5" spans="2:11" ht="13" thickBot="1">
      <c r="E5" s="3"/>
      <c r="F5" s="3"/>
      <c r="H5" s="3"/>
    </row>
    <row r="6" spans="2:11" ht="13" thickBot="1">
      <c r="B6" s="26" t="s">
        <v>231</v>
      </c>
      <c r="C6" s="119" t="s">
        <v>232</v>
      </c>
      <c r="E6" s="26" t="s">
        <v>234</v>
      </c>
      <c r="F6" s="119">
        <v>24599</v>
      </c>
      <c r="H6" s="26" t="s">
        <v>233</v>
      </c>
      <c r="I6" s="120" t="str">
        <f ca="1">CONCATENATE(TEXT(TODAY()-$F$6,"aa"), " ans")</f>
        <v>48 ans</v>
      </c>
    </row>
    <row r="7" spans="2:11" ht="13" thickBot="1">
      <c r="E7" s="3"/>
      <c r="F7" s="3"/>
      <c r="H7" s="3"/>
    </row>
    <row r="8" spans="2:11" ht="13" thickBot="1">
      <c r="B8" s="26" t="s">
        <v>235</v>
      </c>
      <c r="C8" s="121">
        <v>181</v>
      </c>
    </row>
    <row r="9" spans="2:11" ht="13" thickBot="1">
      <c r="B9"/>
    </row>
    <row r="10" spans="2:11" ht="13" thickBot="1">
      <c r="B10" s="26" t="s">
        <v>236</v>
      </c>
      <c r="C10" s="121">
        <v>99.9</v>
      </c>
      <c r="E10" s="26" t="s">
        <v>237</v>
      </c>
      <c r="F10" s="119" t="s">
        <v>610</v>
      </c>
      <c r="H10" s="26" t="s">
        <v>242</v>
      </c>
      <c r="I10" s="120">
        <v>82</v>
      </c>
    </row>
    <row r="11" spans="2:11">
      <c r="B11" s="3" t="e">
        <f ca="1">CONCATENATE("Mesuré, il y a ",TEXT(TODAY()-$F$10,"0")," jours.")</f>
        <v>#VALUE!</v>
      </c>
    </row>
    <row r="12" spans="2:11" ht="13" thickBot="1">
      <c r="B12"/>
    </row>
    <row r="13" spans="2:11" ht="13" thickBot="1">
      <c r="B13" s="414" t="s">
        <v>238</v>
      </c>
      <c r="C13" s="416"/>
      <c r="E13" s="414" t="s">
        <v>241</v>
      </c>
      <c r="F13" s="415"/>
      <c r="G13" s="415"/>
      <c r="H13" s="415"/>
      <c r="I13" s="416"/>
    </row>
    <row r="14" spans="2:11" ht="13" thickBot="1">
      <c r="B14" s="26" t="s">
        <v>239</v>
      </c>
      <c r="C14" s="20" t="s">
        <v>240</v>
      </c>
    </row>
    <row r="15" spans="2:11" ht="13" thickBot="1">
      <c r="B15" s="29">
        <v>42037</v>
      </c>
      <c r="C15" s="28">
        <v>95.8</v>
      </c>
    </row>
    <row r="16" spans="2:11" ht="13" thickBot="1">
      <c r="B16" s="123">
        <f>B15+7</f>
        <v>42044</v>
      </c>
      <c r="C16" s="28">
        <v>94.6</v>
      </c>
      <c r="E16" s="18" t="s">
        <v>594</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selection activeCell="B2" sqref="B2:I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9" ht="13" thickBot="1"/>
    <row r="2" spans="2:9" ht="23" customHeight="1" thickBot="1">
      <c r="B2" s="411" t="s">
        <v>243</v>
      </c>
      <c r="C2" s="412"/>
      <c r="D2" s="412"/>
      <c r="E2" s="412"/>
      <c r="F2" s="412"/>
      <c r="G2" s="412"/>
      <c r="H2" s="412"/>
      <c r="I2" s="413"/>
    </row>
    <row r="3" spans="2:9" ht="13" thickBot="1"/>
    <row r="4" spans="2:9" ht="13" thickBot="1">
      <c r="B4" s="414" t="s">
        <v>226</v>
      </c>
      <c r="C4" s="416"/>
      <c r="E4" s="226" t="s">
        <v>227</v>
      </c>
      <c r="F4" s="119" t="s">
        <v>228</v>
      </c>
      <c r="H4" s="226" t="s">
        <v>229</v>
      </c>
      <c r="I4" s="119" t="s">
        <v>230</v>
      </c>
    </row>
    <row r="5" spans="2:9" ht="13" thickBot="1">
      <c r="E5" s="3"/>
      <c r="F5" s="3"/>
      <c r="H5" s="3"/>
    </row>
    <row r="6" spans="2:9" ht="13" thickBot="1">
      <c r="B6" s="226" t="s">
        <v>231</v>
      </c>
      <c r="C6" s="119" t="s">
        <v>232</v>
      </c>
      <c r="E6" s="226" t="s">
        <v>234</v>
      </c>
      <c r="F6" s="119">
        <v>24599</v>
      </c>
      <c r="H6" s="226" t="s">
        <v>233</v>
      </c>
      <c r="I6" s="120" t="str">
        <f ca="1">CONCATENATE(TEXT(TODAY()-$F$6,"aa"), " ans")</f>
        <v>48 ans</v>
      </c>
    </row>
    <row r="7" spans="2:9" ht="13" thickBot="1">
      <c r="E7" s="3"/>
      <c r="F7" s="3"/>
      <c r="H7" s="3"/>
    </row>
    <row r="8" spans="2:9" ht="13" thickBot="1">
      <c r="B8" s="226" t="s">
        <v>235</v>
      </c>
      <c r="C8" s="121">
        <v>181</v>
      </c>
    </row>
    <row r="9" spans="2:9" ht="13" thickBot="1">
      <c r="B9"/>
    </row>
    <row r="10" spans="2:9" ht="13" thickBot="1">
      <c r="B10" s="226" t="s">
        <v>236</v>
      </c>
      <c r="C10" s="121">
        <v>93</v>
      </c>
      <c r="E10" s="226" t="s">
        <v>237</v>
      </c>
      <c r="F10" s="119">
        <v>42028</v>
      </c>
      <c r="H10" s="226" t="s">
        <v>242</v>
      </c>
      <c r="I10" s="120">
        <v>82</v>
      </c>
    </row>
    <row r="11" spans="2:9">
      <c r="B11" s="3" t="str">
        <f ca="1">CONCATENATE("Mesuré, il y a ",TEXT(TODAY()-$F$10,"0")," jours.")</f>
        <v>Mesuré, il y a 404 jours.</v>
      </c>
    </row>
    <row r="12" spans="2:9" ht="13" thickBot="1">
      <c r="B12"/>
    </row>
    <row r="13" spans="2:9" ht="13" thickBot="1">
      <c r="B13" s="226" t="s">
        <v>511</v>
      </c>
      <c r="C13" s="121" t="s">
        <v>512</v>
      </c>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topLeftCell="A19"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411" t="s">
        <v>243</v>
      </c>
      <c r="C2" s="412"/>
      <c r="D2" s="412"/>
      <c r="E2" s="412"/>
      <c r="F2" s="412"/>
      <c r="G2" s="412"/>
      <c r="H2" s="412"/>
      <c r="I2" s="413"/>
    </row>
    <row r="3" spans="1:22" ht="13" thickBot="1">
      <c r="K3" s="2"/>
    </row>
    <row r="4" spans="1:22" ht="13" thickBot="1">
      <c r="B4" s="414" t="s">
        <v>226</v>
      </c>
      <c r="C4" s="416"/>
      <c r="E4" s="26" t="s">
        <v>227</v>
      </c>
      <c r="F4" s="119" t="s">
        <v>228</v>
      </c>
      <c r="H4" s="26" t="s">
        <v>229</v>
      </c>
      <c r="I4" s="119" t="s">
        <v>230</v>
      </c>
    </row>
    <row r="5" spans="1:22" ht="13" thickBot="1">
      <c r="E5" s="3"/>
      <c r="F5" s="3"/>
      <c r="H5" s="3"/>
    </row>
    <row r="6" spans="1:22" ht="13" thickBot="1">
      <c r="B6" s="26" t="s">
        <v>231</v>
      </c>
      <c r="C6" s="119" t="s">
        <v>232</v>
      </c>
      <c r="E6" s="26" t="s">
        <v>234</v>
      </c>
      <c r="F6" s="119">
        <v>24599</v>
      </c>
      <c r="H6" s="26" t="s">
        <v>233</v>
      </c>
      <c r="I6" s="120" t="str">
        <f ca="1">CONCATENATE(TEXT(TODAY()-$F$6,"aa"), " ans")</f>
        <v>48 ans</v>
      </c>
    </row>
    <row r="7" spans="1:22" ht="13" thickBot="1">
      <c r="E7" s="3"/>
      <c r="F7" s="3"/>
      <c r="H7" s="3"/>
    </row>
    <row r="8" spans="1:22" ht="13" thickBot="1">
      <c r="B8" s="26" t="s">
        <v>235</v>
      </c>
      <c r="C8" s="121">
        <v>181</v>
      </c>
    </row>
    <row r="9" spans="1:22" ht="13" thickBot="1">
      <c r="B9"/>
    </row>
    <row r="10" spans="1:22" ht="13" thickBot="1">
      <c r="B10" s="26" t="s">
        <v>236</v>
      </c>
      <c r="C10" s="121">
        <v>93</v>
      </c>
      <c r="E10" s="26" t="s">
        <v>237</v>
      </c>
      <c r="F10" s="119">
        <v>42028</v>
      </c>
      <c r="H10" s="26" t="s">
        <v>242</v>
      </c>
      <c r="I10" s="120">
        <v>82</v>
      </c>
    </row>
    <row r="11" spans="1:22" ht="13" thickBot="1">
      <c r="B11" s="3" t="str">
        <f ca="1">CONCATENATE("Mesuré, il y a ",TEXT(TODAY()-$F$10,"0")," jours.")</f>
        <v>Mesuré, il y a 404 jours.</v>
      </c>
    </row>
    <row r="12" spans="1:22" ht="15">
      <c r="A12" s="36"/>
      <c r="B12" s="66"/>
      <c r="C12" s="481" t="s">
        <v>194</v>
      </c>
      <c r="D12" s="482"/>
      <c r="E12" s="482"/>
      <c r="F12" s="483"/>
      <c r="G12" s="484" t="s">
        <v>195</v>
      </c>
      <c r="H12" s="484"/>
      <c r="I12" s="484"/>
      <c r="J12" s="485"/>
      <c r="K12" s="488" t="s">
        <v>196</v>
      </c>
      <c r="L12" s="489"/>
      <c r="M12" s="489"/>
      <c r="N12" s="489"/>
      <c r="O12" s="489"/>
      <c r="P12" s="490"/>
      <c r="Q12" s="475" t="s">
        <v>197</v>
      </c>
      <c r="R12" s="476"/>
      <c r="S12" s="477"/>
      <c r="T12" s="75"/>
      <c r="U12" s="36"/>
      <c r="V12" s="36"/>
    </row>
    <row r="13" spans="1:22" ht="15">
      <c r="A13" s="36"/>
      <c r="B13" s="36"/>
      <c r="C13" s="505" t="s">
        <v>198</v>
      </c>
      <c r="D13" s="506"/>
      <c r="E13" s="494" t="s">
        <v>199</v>
      </c>
      <c r="F13" s="495"/>
      <c r="G13" s="486"/>
      <c r="H13" s="486"/>
      <c r="I13" s="486"/>
      <c r="J13" s="487"/>
      <c r="K13" s="491"/>
      <c r="L13" s="492"/>
      <c r="M13" s="492"/>
      <c r="N13" s="492"/>
      <c r="O13" s="492"/>
      <c r="P13" s="493"/>
      <c r="Q13" s="478"/>
      <c r="R13" s="479"/>
      <c r="S13" s="480"/>
      <c r="T13" s="75"/>
      <c r="U13" s="36"/>
      <c r="V13" s="36"/>
    </row>
    <row r="14" spans="1:22" ht="16" thickBot="1">
      <c r="A14" s="36"/>
      <c r="B14" s="76"/>
      <c r="C14" s="505" t="s">
        <v>200</v>
      </c>
      <c r="D14" s="506"/>
      <c r="E14" s="494" t="s">
        <v>201</v>
      </c>
      <c r="F14" s="495"/>
      <c r="G14" s="503" t="s">
        <v>202</v>
      </c>
      <c r="H14" s="504"/>
      <c r="I14" s="504"/>
      <c r="J14" s="504"/>
      <c r="K14" s="507" t="s">
        <v>203</v>
      </c>
      <c r="L14" s="508"/>
      <c r="M14" s="508"/>
      <c r="N14" s="508"/>
      <c r="O14" s="508"/>
      <c r="P14" s="508"/>
      <c r="Q14" s="77"/>
      <c r="R14" s="78"/>
      <c r="S14" s="79"/>
      <c r="T14" s="75"/>
      <c r="U14" s="36"/>
      <c r="V14" s="36"/>
    </row>
    <row r="15" spans="1:22" ht="13" thickBot="1">
      <c r="B15" s="191" t="s">
        <v>168</v>
      </c>
      <c r="C15" s="509">
        <v>0.6</v>
      </c>
      <c r="D15" s="510"/>
      <c r="E15" s="511">
        <v>0.7</v>
      </c>
      <c r="F15" s="512"/>
      <c r="G15" s="513">
        <v>0.8</v>
      </c>
      <c r="H15" s="514"/>
      <c r="I15" s="515">
        <v>0.85</v>
      </c>
      <c r="J15" s="516"/>
      <c r="K15" s="517">
        <v>0.9</v>
      </c>
      <c r="L15" s="518"/>
      <c r="M15" s="519">
        <v>1</v>
      </c>
      <c r="N15" s="518"/>
      <c r="O15" s="520">
        <v>1.05</v>
      </c>
      <c r="P15" s="521"/>
      <c r="Q15" s="599">
        <v>1.1000000000000001</v>
      </c>
      <c r="R15" s="600"/>
      <c r="S15" s="601"/>
      <c r="T15" s="80"/>
      <c r="U15" s="36"/>
      <c r="V15" s="36"/>
    </row>
    <row r="16" spans="1:22" ht="23" thickTop="1" thickBot="1">
      <c r="B16" s="191" t="s">
        <v>204</v>
      </c>
      <c r="C16" s="602">
        <v>10.799999999999999</v>
      </c>
      <c r="D16" s="602"/>
      <c r="E16" s="603">
        <v>12.6</v>
      </c>
      <c r="F16" s="604"/>
      <c r="G16" s="522">
        <v>14.4</v>
      </c>
      <c r="H16" s="522"/>
      <c r="I16" s="523">
        <v>15.299999999999999</v>
      </c>
      <c r="J16" s="524"/>
      <c r="K16" s="525">
        <v>16.2</v>
      </c>
      <c r="L16" s="525"/>
      <c r="M16" s="526">
        <v>18</v>
      </c>
      <c r="N16" s="527"/>
      <c r="O16" s="525">
        <v>18.900000000000002</v>
      </c>
      <c r="P16" s="525"/>
      <c r="Q16" s="496">
        <v>19.8</v>
      </c>
      <c r="R16" s="497"/>
      <c r="S16" s="498"/>
      <c r="T16" s="81"/>
      <c r="U16" s="82"/>
      <c r="V16" s="82"/>
    </row>
    <row r="17" spans="2:22" ht="13" customHeight="1" thickTop="1" thickBot="1">
      <c r="B17" s="191" t="s">
        <v>205</v>
      </c>
      <c r="C17" s="583">
        <v>143.76</v>
      </c>
      <c r="D17" s="584"/>
      <c r="E17" s="587">
        <v>154.4</v>
      </c>
      <c r="F17" s="588"/>
      <c r="G17" s="591">
        <v>161.05000000000001</v>
      </c>
      <c r="H17" s="592"/>
      <c r="I17" s="595">
        <v>163.70999999999998</v>
      </c>
      <c r="J17" s="596"/>
      <c r="K17" s="553">
        <v>167.7</v>
      </c>
      <c r="L17" s="554"/>
      <c r="M17" s="546">
        <v>174.35</v>
      </c>
      <c r="N17" s="547"/>
      <c r="O17" s="550">
        <v>175.68</v>
      </c>
      <c r="P17" s="551"/>
      <c r="Q17" s="499">
        <v>177.01</v>
      </c>
      <c r="R17" s="500"/>
      <c r="S17" s="83"/>
      <c r="T17" s="84"/>
      <c r="U17" s="36"/>
      <c r="V17" s="36"/>
    </row>
    <row r="18" spans="2:22" ht="19" thickBot="1">
      <c r="B18" s="191"/>
      <c r="C18" s="585"/>
      <c r="D18" s="586"/>
      <c r="E18" s="589"/>
      <c r="F18" s="590"/>
      <c r="G18" s="593"/>
      <c r="H18" s="594"/>
      <c r="I18" s="597"/>
      <c r="J18" s="598"/>
      <c r="K18" s="555"/>
      <c r="L18" s="556"/>
      <c r="M18" s="548"/>
      <c r="N18" s="549"/>
      <c r="O18" s="548"/>
      <c r="P18" s="552"/>
      <c r="Q18" s="501"/>
      <c r="R18" s="502"/>
      <c r="S18" s="85"/>
      <c r="T18" s="84"/>
      <c r="U18" s="528" t="s">
        <v>206</v>
      </c>
      <c r="V18" s="528"/>
    </row>
    <row r="19" spans="2:22" ht="13" customHeight="1" thickBot="1">
      <c r="B19" s="191" t="s">
        <v>207</v>
      </c>
      <c r="C19" s="577" t="s">
        <v>208</v>
      </c>
      <c r="D19" s="578"/>
      <c r="E19" s="579" t="s">
        <v>209</v>
      </c>
      <c r="F19" s="580"/>
      <c r="G19" s="581" t="s">
        <v>210</v>
      </c>
      <c r="H19" s="582"/>
      <c r="I19" s="582"/>
      <c r="J19" s="582"/>
      <c r="K19" s="557"/>
      <c r="L19" s="541"/>
      <c r="M19" s="534" t="s">
        <v>211</v>
      </c>
      <c r="N19" s="541"/>
      <c r="O19" s="534"/>
      <c r="P19" s="535"/>
      <c r="Q19" s="536" t="s">
        <v>212</v>
      </c>
      <c r="R19" s="537"/>
      <c r="S19" s="538"/>
      <c r="T19" s="84"/>
      <c r="U19" s="528"/>
      <c r="V19" s="528"/>
    </row>
    <row r="20" spans="2:22" ht="13" thickBot="1">
      <c r="B20" s="191" t="s">
        <v>213</v>
      </c>
      <c r="C20" s="558" t="s">
        <v>214</v>
      </c>
      <c r="D20" s="559"/>
      <c r="E20" s="560" t="s">
        <v>215</v>
      </c>
      <c r="F20" s="561"/>
      <c r="G20" s="562" t="s">
        <v>216</v>
      </c>
      <c r="H20" s="563"/>
      <c r="I20" s="564">
        <v>15.299999999999999</v>
      </c>
      <c r="J20" s="565"/>
      <c r="K20" s="539" t="s">
        <v>217</v>
      </c>
      <c r="L20" s="540"/>
      <c r="M20" s="542">
        <v>2.7</v>
      </c>
      <c r="N20" s="543"/>
      <c r="O20" s="544">
        <v>390</v>
      </c>
      <c r="P20" s="545"/>
      <c r="Q20" s="568">
        <v>165</v>
      </c>
      <c r="R20" s="569"/>
      <c r="S20" s="570"/>
      <c r="T20" s="86"/>
      <c r="U20" s="528"/>
      <c r="V20" s="528"/>
    </row>
    <row r="21" spans="2:22" ht="13" customHeight="1" thickBot="1">
      <c r="B21" s="191" t="s">
        <v>218</v>
      </c>
      <c r="C21" s="571">
        <v>49</v>
      </c>
      <c r="D21" s="572"/>
      <c r="E21" s="572"/>
      <c r="F21" s="573"/>
      <c r="G21" s="574">
        <v>10.5</v>
      </c>
      <c r="H21" s="575"/>
      <c r="I21" s="575"/>
      <c r="J21" s="576"/>
      <c r="K21" s="529">
        <v>7</v>
      </c>
      <c r="L21" s="529"/>
      <c r="M21" s="529"/>
      <c r="N21" s="529"/>
      <c r="O21" s="529"/>
      <c r="P21" s="530"/>
      <c r="Q21" s="531">
        <v>3.5</v>
      </c>
      <c r="R21" s="532"/>
      <c r="S21" s="533"/>
      <c r="T21" s="87"/>
      <c r="U21" s="88">
        <v>70</v>
      </c>
      <c r="V21" s="36"/>
    </row>
    <row r="22" spans="2:22" ht="14" thickBot="1">
      <c r="B22" s="191" t="s">
        <v>219</v>
      </c>
      <c r="C22" s="36"/>
      <c r="D22" s="36"/>
      <c r="E22" s="89">
        <v>151</v>
      </c>
      <c r="F22" s="90">
        <v>158</v>
      </c>
      <c r="G22" s="91"/>
      <c r="H22" s="36"/>
      <c r="I22" s="92">
        <v>160</v>
      </c>
      <c r="J22" s="93">
        <v>167</v>
      </c>
      <c r="K22" s="36"/>
      <c r="L22" s="36"/>
      <c r="M22" s="36"/>
      <c r="N22" s="36"/>
      <c r="O22" s="36"/>
      <c r="P22" s="36"/>
      <c r="Q22" s="566">
        <v>177.01</v>
      </c>
      <c r="R22" s="567"/>
      <c r="S22" s="94">
        <v>181</v>
      </c>
      <c r="T22" s="36"/>
      <c r="U22" s="36"/>
      <c r="V22" s="36"/>
    </row>
    <row r="23" spans="2:22" ht="13" thickBot="1">
      <c r="B23"/>
    </row>
    <row r="24" spans="2:22" ht="13" thickBot="1">
      <c r="B24" s="414" t="s">
        <v>238</v>
      </c>
      <c r="C24" s="416"/>
      <c r="E24" s="414" t="s">
        <v>241</v>
      </c>
      <c r="F24" s="415"/>
      <c r="G24" s="415"/>
      <c r="H24" s="415"/>
      <c r="I24" s="416"/>
    </row>
    <row r="25" spans="2:22" ht="13" thickBot="1">
      <c r="B25" s="26" t="s">
        <v>239</v>
      </c>
      <c r="C25" s="20" t="s">
        <v>240</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98"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658" t="s">
        <v>172</v>
      </c>
      <c r="D1" s="659"/>
      <c r="E1" s="659"/>
      <c r="F1" s="659"/>
      <c r="G1" s="659"/>
      <c r="H1" s="659"/>
      <c r="I1" s="659"/>
      <c r="J1" s="659"/>
      <c r="K1" s="659"/>
      <c r="L1" s="659"/>
      <c r="M1" s="659"/>
      <c r="N1" s="659"/>
      <c r="O1" s="659"/>
      <c r="P1" s="659"/>
      <c r="Q1" s="659"/>
      <c r="R1" s="659"/>
      <c r="S1" s="659"/>
      <c r="T1" s="659"/>
      <c r="U1" s="659"/>
      <c r="V1" s="659"/>
      <c r="W1" s="660"/>
    </row>
    <row r="3" spans="1:23">
      <c r="B3" s="37" t="s">
        <v>173</v>
      </c>
    </row>
    <row r="4" spans="1:23">
      <c r="B4" s="38" t="s">
        <v>174</v>
      </c>
    </row>
    <row r="5" spans="1:23">
      <c r="B5" s="36" t="s">
        <v>175</v>
      </c>
    </row>
    <row r="6" spans="1:23" ht="13" thickBot="1"/>
    <row r="7" spans="1:23" ht="13" thickBot="1">
      <c r="A7" s="39"/>
      <c r="G7" s="647">
        <v>40491</v>
      </c>
      <c r="H7" s="648"/>
      <c r="I7" s="40"/>
      <c r="J7" s="41">
        <v>3</v>
      </c>
      <c r="K7" s="36" t="s">
        <v>176</v>
      </c>
      <c r="L7" s="42">
        <v>15</v>
      </c>
      <c r="M7" s="36" t="s">
        <v>177</v>
      </c>
      <c r="O7" s="661" t="str">
        <f>IF(Q15="","","Saisir les données du test VMA dans le tableau des résultats.")</f>
        <v>Saisir les données du test VMA dans le tableau des résultats.</v>
      </c>
      <c r="P7" s="661"/>
      <c r="Q7" s="661"/>
      <c r="R7" s="661"/>
      <c r="S7" s="661"/>
      <c r="T7" s="661"/>
      <c r="U7" s="661"/>
      <c r="V7" s="661"/>
      <c r="W7" s="661"/>
    </row>
    <row r="8" spans="1:23" ht="3" customHeight="1" thickBot="1">
      <c r="L8" s="43"/>
      <c r="O8" s="661"/>
      <c r="P8" s="661"/>
      <c r="Q8" s="661"/>
      <c r="R8" s="661"/>
      <c r="S8" s="661"/>
      <c r="T8" s="661"/>
      <c r="U8" s="661"/>
      <c r="V8" s="661"/>
      <c r="W8" s="661"/>
    </row>
    <row r="9" spans="1:23" ht="13" thickBot="1">
      <c r="G9" s="651"/>
      <c r="H9" s="651"/>
      <c r="J9" s="41">
        <v>3</v>
      </c>
      <c r="K9" s="36" t="s">
        <v>176</v>
      </c>
      <c r="L9" s="42">
        <v>24</v>
      </c>
      <c r="M9" s="36" t="s">
        <v>177</v>
      </c>
      <c r="O9" s="661"/>
      <c r="P9" s="661"/>
      <c r="Q9" s="661"/>
      <c r="R9" s="661"/>
      <c r="S9" s="661"/>
      <c r="T9" s="661"/>
      <c r="U9" s="661"/>
      <c r="V9" s="661"/>
      <c r="W9" s="661"/>
    </row>
    <row r="10" spans="1:23" ht="3" customHeight="1" thickBot="1">
      <c r="J10" s="44"/>
      <c r="L10" s="43"/>
      <c r="P10" s="662" t="str">
        <f>IF(Q15="","","TABLEAU")</f>
        <v>TABLEAU</v>
      </c>
      <c r="Q10" s="663"/>
      <c r="R10" s="664"/>
    </row>
    <row r="11" spans="1:23" ht="13" thickBot="1">
      <c r="J11" s="41">
        <v>3</v>
      </c>
      <c r="K11" s="36" t="s">
        <v>176</v>
      </c>
      <c r="L11" s="42">
        <v>28</v>
      </c>
      <c r="M11" s="36" t="s">
        <v>177</v>
      </c>
      <c r="P11" s="665"/>
      <c r="Q11" s="666"/>
      <c r="R11" s="667"/>
    </row>
    <row r="12" spans="1:23" ht="3" customHeight="1" thickBot="1">
      <c r="J12" s="44"/>
      <c r="L12" s="45"/>
      <c r="P12" s="668"/>
      <c r="Q12" s="669"/>
      <c r="R12" s="670"/>
    </row>
    <row r="13" spans="1:23" ht="13.5" customHeight="1" thickBot="1">
      <c r="J13" s="41">
        <v>3</v>
      </c>
      <c r="K13" s="36" t="s">
        <v>176</v>
      </c>
      <c r="L13" s="42">
        <v>13</v>
      </c>
      <c r="M13" s="36" t="s">
        <v>177</v>
      </c>
    </row>
    <row r="14" spans="1:23" ht="6" customHeight="1" thickBot="1">
      <c r="J14" s="44"/>
      <c r="L14" s="45"/>
    </row>
    <row r="15" spans="1:23" ht="13.5" customHeight="1" thickBot="1">
      <c r="F15" s="649" t="s">
        <v>178</v>
      </c>
      <c r="G15" s="649"/>
      <c r="H15" s="649"/>
      <c r="I15" s="650"/>
      <c r="J15" s="46">
        <f>IF(AND(OR(J13="",J13=0),OR(J11="",J11=0),OR(J9="",J9=0)),J7,IF(AND(OR(AND(J13="",L13=""),AND(J13=0,L13=0)),OR((AND(J11="",L11="")),AND(J11=0,L11=0))),INT(((J7+J9)*60+L7+L9)/120),IF(OR(AND(J13="",L13=""),AND(J13=0,L13=0)),INT(((J7+J9+J11)*60+L7+L9+J11)/180),INT(((J7+J9+J11+J13)*60+L7+L9+L11+J13)/240))))</f>
        <v>3</v>
      </c>
      <c r="K15" s="36" t="s">
        <v>176</v>
      </c>
      <c r="L15" s="47">
        <f>IF(AND(OR(J13="",J13=0),OR(J11="",J11=0),OR(J9="",J9=0)),L7,IF(AND(OR(AND(J13="",L13=""),AND(J13=0,L13=0)),OR((AND(J11="",L11="")),AND(J11=0,L11=0))),(((J7+J9)*60+(L7+L9))/2-INT(((J7+J9)*60+(L7+L9))/2/60)*60),IF(OR(AND(J13="",L13=""),AND(J13=0,L13=0)),(((J7+J9+J11)*60+(L7+L9+L11))/3-INT(((J7+J9+J11)*60+(L7+L9+L11))/3/60)*60),(((J7+J9+J11+J13)*60+(L7+L9+L11+L13))/4-INT(((J7+J9+J11+J13)*60+(L7+L9+L11+L13))/4/60)*60))))</f>
        <v>20</v>
      </c>
      <c r="M15" s="36" t="s">
        <v>177</v>
      </c>
      <c r="O15" s="654" t="s">
        <v>179</v>
      </c>
      <c r="P15" s="654"/>
      <c r="Q15" s="655">
        <f>IF(OR(AND(J15=0,L15=0),AND(J15="",L15="")),"",1/(J15/60+L15/3600))</f>
        <v>18</v>
      </c>
      <c r="R15" s="656"/>
      <c r="S15" s="657"/>
    </row>
    <row r="16" spans="1:23" ht="6" customHeight="1" thickBot="1"/>
    <row r="17" spans="2:23" ht="13.5" customHeight="1" thickBot="1">
      <c r="J17" s="640" t="str">
        <f ca="1">IF(G7="","",IF(NOW()-G7&lt;0,"Erreur sur la date du test.","Le test VMA a été réalisé, il y a"))</f>
        <v>Le test VMA a été réalisé, il y a</v>
      </c>
      <c r="K17" s="640"/>
      <c r="L17" s="640"/>
      <c r="M17" s="640"/>
      <c r="N17" s="640"/>
      <c r="O17" s="640"/>
      <c r="P17" s="641"/>
      <c r="Q17" s="642">
        <f ca="1">IF(G7="","",IF(ROUNDDOWN(NOW()-G7,0)&lt;0,"",IF(NOW()-G7&lt;=14,ROUNDDOWN(NOW()-G7,0),ROUND((NOW()-G7)/7,0))))</f>
        <v>277</v>
      </c>
      <c r="R17" s="643"/>
      <c r="S17" s="644"/>
      <c r="U17" s="48" t="str">
        <f ca="1">IF(Q17="","",IF(OR(Q17=0,Q17=1),"jour",IF((NOW()-G7)&gt;14,"semaines","jours.")))</f>
        <v>semaines</v>
      </c>
      <c r="V17" s="48"/>
    </row>
    <row r="18" spans="2:23" ht="6" customHeight="1">
      <c r="M18" s="49"/>
      <c r="N18" s="49"/>
      <c r="O18" s="49"/>
      <c r="P18" s="50"/>
    </row>
    <row r="19" spans="2:23" ht="13.5" customHeight="1">
      <c r="J19" s="645" t="str">
        <f ca="1">IF(Q17="","",IF(INT((NOW()-G7)/7)&gt;=4,"Il est souhaitable de refaire un test VMA toutes les 4 à 6 semaines ou alors en début de cycle.",""))</f>
        <v>Il est souhaitable de refaire un test VMA toutes les 4 à 6 semaines ou alors en début de cycle.</v>
      </c>
      <c r="K19" s="645"/>
      <c r="L19" s="645"/>
      <c r="M19" s="645"/>
      <c r="N19" s="645"/>
      <c r="O19" s="645"/>
      <c r="P19" s="645"/>
      <c r="Q19" s="645"/>
      <c r="R19" s="645"/>
      <c r="S19" s="645"/>
      <c r="T19" s="645"/>
      <c r="U19" s="645"/>
      <c r="V19" s="645"/>
      <c r="W19" s="645"/>
    </row>
    <row r="20" spans="2:23" ht="6" customHeight="1">
      <c r="J20" s="645"/>
      <c r="K20" s="645"/>
      <c r="L20" s="645"/>
      <c r="M20" s="645"/>
      <c r="N20" s="645"/>
      <c r="O20" s="645"/>
      <c r="P20" s="645"/>
      <c r="Q20" s="645"/>
      <c r="R20" s="645"/>
      <c r="S20" s="645"/>
      <c r="T20" s="645"/>
      <c r="U20" s="645"/>
      <c r="V20" s="645"/>
      <c r="W20" s="645"/>
    </row>
    <row r="21" spans="2:23" ht="13.5" customHeight="1">
      <c r="B21" s="37" t="s">
        <v>180</v>
      </c>
      <c r="J21" s="645"/>
      <c r="K21" s="645"/>
      <c r="L21" s="645"/>
      <c r="M21" s="645"/>
      <c r="N21" s="645"/>
      <c r="O21" s="645"/>
      <c r="P21" s="645"/>
      <c r="Q21" s="645"/>
      <c r="R21" s="645"/>
      <c r="S21" s="645"/>
      <c r="T21" s="645"/>
      <c r="U21" s="645"/>
      <c r="V21" s="645"/>
      <c r="W21" s="645"/>
    </row>
    <row r="22" spans="2:23" ht="13.5" customHeight="1">
      <c r="B22" s="36" t="s">
        <v>181</v>
      </c>
    </row>
    <row r="23" spans="2:23" ht="3" customHeight="1"/>
    <row r="24" spans="2:23" ht="13.5" customHeight="1" thickBot="1">
      <c r="B24" s="646" t="s">
        <v>182</v>
      </c>
      <c r="C24" s="646"/>
      <c r="D24" s="646"/>
      <c r="E24" s="646"/>
      <c r="F24" s="646"/>
    </row>
    <row r="25" spans="2:23" ht="13.5" customHeight="1" thickBot="1">
      <c r="C25" s="647">
        <v>40236</v>
      </c>
      <c r="D25" s="648"/>
      <c r="E25" s="649" t="s">
        <v>183</v>
      </c>
      <c r="F25" s="649"/>
      <c r="G25" s="649"/>
      <c r="H25" s="649"/>
      <c r="I25" s="650"/>
      <c r="J25" s="41">
        <v>3</v>
      </c>
      <c r="K25" s="36" t="s">
        <v>176</v>
      </c>
      <c r="L25" s="42">
        <v>40</v>
      </c>
      <c r="M25" s="36" t="s">
        <v>177</v>
      </c>
    </row>
    <row r="26" spans="2:23" ht="13.5" customHeight="1" thickBot="1">
      <c r="C26" s="651"/>
      <c r="D26" s="651"/>
      <c r="J26" s="36" t="str">
        <f>IF(J25+L25=0,"",IF(J25*60+L25&lt;180,"temps de maintien trop court, l'estimation de la VMA est trop élevée.",IF(J25*60+L25&gt;540,"temps de maintien trop long, l'estimation de la VMA est trop basse.","")))</f>
        <v/>
      </c>
    </row>
    <row r="27" spans="2:23" ht="13.5" customHeight="1" thickBot="1">
      <c r="B27" s="621" t="str">
        <f ca="1">IF(C25="","",IF(NOW()-C25&lt;0,"Erreur sur la date du test.","Le test VMA a été réalisé, il y a"))</f>
        <v>Le test VMA a été réalisé, il y a</v>
      </c>
      <c r="C27" s="621"/>
      <c r="D27" s="621"/>
      <c r="E27" s="613"/>
      <c r="F27" s="51">
        <f ca="1">IF(C25="","",IF(ROUNDDOWN(NOW()-C25,0)&lt;0,"",IF(NOW()-C25&lt;=14,ROUNDDOWN(NOW()-C25,0),ROUND((NOW()-C25)/7,0))))</f>
        <v>314</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184</v>
      </c>
      <c r="C29" s="56"/>
      <c r="D29" s="56"/>
      <c r="E29" s="57"/>
    </row>
    <row r="30" spans="2:23" ht="13" thickBot="1">
      <c r="B30" s="640" t="s">
        <v>185</v>
      </c>
      <c r="C30" s="640"/>
      <c r="D30" s="640"/>
      <c r="E30" s="641"/>
      <c r="F30" s="58">
        <v>48</v>
      </c>
      <c r="G30" s="36" t="s">
        <v>186</v>
      </c>
      <c r="J30" s="652">
        <v>42025</v>
      </c>
      <c r="K30" s="626"/>
      <c r="L30" s="653" t="s">
        <v>187</v>
      </c>
      <c r="M30" s="627"/>
      <c r="N30" s="627"/>
      <c r="O30" s="627"/>
      <c r="P30" s="627"/>
      <c r="Q30" s="627"/>
      <c r="R30" s="627"/>
      <c r="S30" s="627"/>
    </row>
    <row r="31" spans="2:23" ht="13" thickBot="1">
      <c r="B31" s="59"/>
      <c r="C31" s="59"/>
      <c r="D31" s="59"/>
    </row>
    <row r="32" spans="2:23" ht="13" thickBot="1">
      <c r="B32" s="60" t="s">
        <v>188</v>
      </c>
      <c r="C32" s="61">
        <f>IF([1]données!C5="","",[1]données!I5)</f>
        <v>48</v>
      </c>
      <c r="F32" s="640" t="s">
        <v>189</v>
      </c>
      <c r="G32" s="640"/>
      <c r="H32" s="640"/>
      <c r="I32" s="640"/>
      <c r="J32" s="641"/>
      <c r="K32" s="62">
        <f>IF(C32="","",ROUNDDOWN(SUM(208.754-([1]données!I5*0.734)),0))</f>
        <v>173</v>
      </c>
      <c r="L32" s="36" t="s">
        <v>186</v>
      </c>
    </row>
    <row r="33" spans="1:23" ht="3.75" customHeight="1" thickBot="1"/>
    <row r="34" spans="1:23" ht="13" thickBot="1">
      <c r="A34" s="621"/>
      <c r="B34" s="622" t="str">
        <f>IF([1]données!C5="","Noter votre date de naissance dans la feuille données","")</f>
        <v/>
      </c>
      <c r="C34" s="622"/>
      <c r="D34" s="622"/>
      <c r="E34" s="622"/>
      <c r="F34" s="622"/>
      <c r="G34" s="63" t="s">
        <v>190</v>
      </c>
      <c r="K34" s="62">
        <f>IF(OR(F30="",C32=""),"",IF(AND(F30="",C32=""),"",K32-F30))</f>
        <v>125</v>
      </c>
      <c r="L34" s="36" t="s">
        <v>186</v>
      </c>
      <c r="W34" s="64"/>
    </row>
    <row r="35" spans="1:23">
      <c r="A35" s="621"/>
      <c r="B35" s="622"/>
      <c r="C35" s="622"/>
      <c r="D35" s="622"/>
      <c r="E35" s="622"/>
      <c r="F35" s="622"/>
    </row>
    <row r="36" spans="1:23">
      <c r="A36" s="621"/>
      <c r="B36" s="65" t="s">
        <v>191</v>
      </c>
      <c r="D36" s="66"/>
      <c r="E36" s="66"/>
      <c r="F36" s="44"/>
    </row>
    <row r="37" spans="1:23">
      <c r="A37" s="621"/>
      <c r="B37" s="623" t="s">
        <v>192</v>
      </c>
      <c r="C37" s="623"/>
      <c r="D37" s="623"/>
      <c r="E37" s="623"/>
      <c r="F37" s="623"/>
      <c r="G37" s="623"/>
      <c r="H37" s="623"/>
      <c r="I37" s="623"/>
      <c r="J37" s="623"/>
      <c r="K37" s="623"/>
      <c r="L37" s="623"/>
      <c r="M37" s="623"/>
      <c r="N37" s="623"/>
      <c r="O37" s="623"/>
      <c r="P37" s="623"/>
      <c r="Q37" s="623"/>
      <c r="R37" s="623"/>
      <c r="S37" s="623"/>
      <c r="T37" s="67"/>
    </row>
    <row r="38" spans="1:23" ht="13" thickBot="1">
      <c r="A38" s="621"/>
      <c r="B38" s="623"/>
      <c r="C38" s="623"/>
      <c r="D38" s="623"/>
      <c r="E38" s="623"/>
      <c r="F38" s="623"/>
      <c r="G38" s="623"/>
      <c r="H38" s="623"/>
      <c r="I38" s="623"/>
      <c r="J38" s="623"/>
      <c r="K38" s="623"/>
      <c r="L38" s="623"/>
      <c r="M38" s="623"/>
      <c r="N38" s="623"/>
      <c r="O38" s="623"/>
      <c r="P38" s="623"/>
      <c r="Q38" s="623"/>
      <c r="R38" s="623"/>
      <c r="S38" s="623"/>
      <c r="T38" s="67"/>
    </row>
    <row r="39" spans="1:23" ht="13" thickBot="1">
      <c r="A39" s="621"/>
      <c r="B39" s="68" t="s">
        <v>193</v>
      </c>
      <c r="D39" s="66"/>
      <c r="E39" s="66"/>
      <c r="F39" s="66"/>
      <c r="G39" s="66"/>
      <c r="H39" s="44"/>
      <c r="I39" s="58">
        <v>181</v>
      </c>
      <c r="J39" s="36" t="s">
        <v>186</v>
      </c>
      <c r="M39" s="624">
        <v>40157</v>
      </c>
      <c r="N39" s="625"/>
      <c r="O39" s="626"/>
      <c r="P39" s="627" t="s">
        <v>187</v>
      </c>
      <c r="Q39" s="627"/>
      <c r="R39" s="627"/>
      <c r="S39" s="627"/>
      <c r="T39" s="627"/>
      <c r="U39" s="627"/>
      <c r="V39" s="627"/>
      <c r="W39" s="627"/>
    </row>
    <row r="40" spans="1:23" ht="5.25" customHeight="1" thickBot="1">
      <c r="A40" s="621"/>
      <c r="B40" s="68"/>
      <c r="D40" s="66"/>
      <c r="E40" s="66"/>
      <c r="F40" s="66"/>
      <c r="G40" s="66"/>
      <c r="H40" s="44"/>
      <c r="I40" s="69"/>
      <c r="M40" s="70"/>
      <c r="N40" s="71"/>
      <c r="O40" s="71"/>
      <c r="P40" s="72"/>
      <c r="Q40" s="72"/>
      <c r="R40" s="72"/>
      <c r="S40" s="72"/>
      <c r="T40" s="72"/>
      <c r="U40" s="72"/>
      <c r="V40" s="72"/>
      <c r="W40" s="72"/>
    </row>
    <row r="41" spans="1:23" ht="13" thickBot="1">
      <c r="A41" s="621"/>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21"/>
      <c r="B42" s="74"/>
      <c r="D42" s="66"/>
      <c r="E42" s="66"/>
      <c r="F42" s="44"/>
    </row>
    <row r="43" spans="1:23" ht="15.75" customHeight="1">
      <c r="A43" s="621"/>
      <c r="B43" s="66"/>
      <c r="D43" s="66"/>
      <c r="E43" s="481" t="s">
        <v>194</v>
      </c>
      <c r="F43" s="482"/>
      <c r="G43" s="482"/>
      <c r="H43" s="483"/>
      <c r="I43" s="484" t="s">
        <v>195</v>
      </c>
      <c r="J43" s="484"/>
      <c r="K43" s="484"/>
      <c r="L43" s="485"/>
      <c r="M43" s="488" t="s">
        <v>196</v>
      </c>
      <c r="N43" s="489"/>
      <c r="O43" s="489"/>
      <c r="P43" s="489"/>
      <c r="Q43" s="489"/>
      <c r="R43" s="490"/>
      <c r="S43" s="475" t="s">
        <v>197</v>
      </c>
      <c r="T43" s="476"/>
      <c r="U43" s="477"/>
      <c r="V43" s="75"/>
    </row>
    <row r="44" spans="1:23" ht="15">
      <c r="A44" s="621"/>
      <c r="B44" s="66"/>
      <c r="E44" s="505" t="s">
        <v>198</v>
      </c>
      <c r="F44" s="506"/>
      <c r="G44" s="494" t="s">
        <v>199</v>
      </c>
      <c r="H44" s="495"/>
      <c r="I44" s="486"/>
      <c r="J44" s="486"/>
      <c r="K44" s="486"/>
      <c r="L44" s="487"/>
      <c r="M44" s="491"/>
      <c r="N44" s="492"/>
      <c r="O44" s="492"/>
      <c r="P44" s="492"/>
      <c r="Q44" s="492"/>
      <c r="R44" s="493"/>
      <c r="S44" s="478"/>
      <c r="T44" s="479"/>
      <c r="U44" s="480"/>
      <c r="V44" s="75"/>
    </row>
    <row r="45" spans="1:23" ht="16" thickBot="1">
      <c r="A45" s="621"/>
      <c r="B45" s="66"/>
      <c r="D45" s="76"/>
      <c r="E45" s="505" t="s">
        <v>200</v>
      </c>
      <c r="F45" s="506"/>
      <c r="G45" s="494" t="s">
        <v>201</v>
      </c>
      <c r="H45" s="495"/>
      <c r="I45" s="503" t="s">
        <v>202</v>
      </c>
      <c r="J45" s="504"/>
      <c r="K45" s="504"/>
      <c r="L45" s="504"/>
      <c r="M45" s="507" t="s">
        <v>203</v>
      </c>
      <c r="N45" s="508"/>
      <c r="O45" s="508"/>
      <c r="P45" s="508"/>
      <c r="Q45" s="508"/>
      <c r="R45" s="508"/>
      <c r="S45" s="77"/>
      <c r="T45" s="78"/>
      <c r="U45" s="79"/>
      <c r="V45" s="75"/>
    </row>
    <row r="46" spans="1:23" ht="13" thickBot="1">
      <c r="A46" s="621"/>
      <c r="B46" s="66"/>
      <c r="C46" s="619" t="s">
        <v>168</v>
      </c>
      <c r="D46" s="620"/>
      <c r="E46" s="509">
        <v>0.6</v>
      </c>
      <c r="F46" s="510"/>
      <c r="G46" s="511">
        <v>0.7</v>
      </c>
      <c r="H46" s="512"/>
      <c r="I46" s="513">
        <v>0.8</v>
      </c>
      <c r="J46" s="514"/>
      <c r="K46" s="515">
        <v>0.85</v>
      </c>
      <c r="L46" s="516"/>
      <c r="M46" s="517">
        <v>0.9</v>
      </c>
      <c r="N46" s="518"/>
      <c r="O46" s="519">
        <v>1</v>
      </c>
      <c r="P46" s="518"/>
      <c r="Q46" s="520">
        <v>1.05</v>
      </c>
      <c r="R46" s="521"/>
      <c r="S46" s="599">
        <v>1.1000000000000001</v>
      </c>
      <c r="T46" s="600"/>
      <c r="U46" s="601"/>
      <c r="V46" s="80"/>
    </row>
    <row r="47" spans="1:23" s="82" customFormat="1" ht="24" customHeight="1" thickTop="1" thickBot="1">
      <c r="A47" s="621"/>
      <c r="B47" s="66"/>
      <c r="C47" s="638" t="s">
        <v>204</v>
      </c>
      <c r="D47" s="639"/>
      <c r="E47" s="602">
        <f>IF(Q15="","",Q15*E46)</f>
        <v>10.799999999999999</v>
      </c>
      <c r="F47" s="602"/>
      <c r="G47" s="603">
        <f>IF(Q15="","",Q15*G46)</f>
        <v>12.6</v>
      </c>
      <c r="H47" s="604"/>
      <c r="I47" s="522">
        <f>IF(Q15="","",Q15*I46)</f>
        <v>14.4</v>
      </c>
      <c r="J47" s="522"/>
      <c r="K47" s="523">
        <f>IF(Q15="","",Q15*K46)</f>
        <v>15.299999999999999</v>
      </c>
      <c r="L47" s="524"/>
      <c r="M47" s="525">
        <f>IF(Q15="","",Q15*M46)</f>
        <v>16.2</v>
      </c>
      <c r="N47" s="525"/>
      <c r="O47" s="526">
        <f>IF(Q15="","",Q15*O46)</f>
        <v>18</v>
      </c>
      <c r="P47" s="527"/>
      <c r="Q47" s="525">
        <f>IF(Q15="","",Q15*Q46)</f>
        <v>18.900000000000002</v>
      </c>
      <c r="R47" s="525"/>
      <c r="S47" s="496">
        <f>IF(Q15="","",Q15*S46)</f>
        <v>19.8</v>
      </c>
      <c r="T47" s="497"/>
      <c r="U47" s="498"/>
      <c r="V47" s="81"/>
    </row>
    <row r="48" spans="1:23" ht="5.25" customHeight="1" thickTop="1">
      <c r="A48" s="621"/>
      <c r="B48" s="66"/>
      <c r="C48" s="634" t="s">
        <v>205</v>
      </c>
      <c r="D48" s="635"/>
      <c r="E48" s="583">
        <f>IF(K32="",(IF(I39="","72%",(I39-F30)*0.72+F30)),(IF(I39="",((K32-F30)*0.72+F30),(I39-F30)*0.72+F30)))</f>
        <v>143.76</v>
      </c>
      <c r="F48" s="584"/>
      <c r="G48" s="587">
        <f>IF(K32="",(IF(I39="","80%",(I39-F30)*0.8+F30)),(IF(I39="",((K32-F30)*0.8+F30),(I39-F30)*0.8+F30)))</f>
        <v>154.4</v>
      </c>
      <c r="H48" s="588"/>
      <c r="I48" s="591">
        <f>IF(K32="",(IF(I39="","85%",(I39-F30)*0.85+F30)),(IF(I39="",((K32-F30)*0.85+F30),(I39-F30)*0.85+F30)))</f>
        <v>161.05000000000001</v>
      </c>
      <c r="J48" s="592"/>
      <c r="K48" s="595">
        <f>IF(K32="",(IF(I39="","87%",(I39-F30)*0.87+F30)),(IF(I39="",((K32-F30)*0.87+F30),(I39-F30)*0.87+F30)))</f>
        <v>163.70999999999998</v>
      </c>
      <c r="L48" s="596"/>
      <c r="M48" s="553">
        <f>IF(K32="",(IF(I39="","90%",(I39-F30)*0.9+F30)),(IF(I39="",((K32-F30)*0.9+F30),(I39-F30)*0.9+F30)))</f>
        <v>167.7</v>
      </c>
      <c r="N48" s="554"/>
      <c r="O48" s="546">
        <f>IF(K32="",(IF(I39="","95%",(I39-F30)*0.95+F30)),(IF(I39="",((K32-F30)*0.95+F30),(I39-F30)*0.95+F30)))</f>
        <v>174.35</v>
      </c>
      <c r="P48" s="547"/>
      <c r="Q48" s="550">
        <f>IF(K32="",(IF(I39="","96%",(I39-F30)*0.96+F30)),(IF(I39="",((K32-F30)*0.96+F30),(I39-F30)*0.96+F30)))</f>
        <v>175.68</v>
      </c>
      <c r="R48" s="551"/>
      <c r="S48" s="499">
        <f>IF(K32="",(IF(I39="","97%",(I39-F30)*0.97+F30)),(IF(I39="",((K32-F30)*0.97+F30),(I39-F30)*0.97+F30)))</f>
        <v>177.01</v>
      </c>
      <c r="T48" s="500"/>
      <c r="U48" s="83"/>
      <c r="V48" s="84"/>
    </row>
    <row r="49" spans="1:24" ht="25.5" customHeight="1">
      <c r="A49" s="621"/>
      <c r="B49" s="66"/>
      <c r="C49" s="636"/>
      <c r="D49" s="637"/>
      <c r="E49" s="585"/>
      <c r="F49" s="586"/>
      <c r="G49" s="589"/>
      <c r="H49" s="590"/>
      <c r="I49" s="593"/>
      <c r="J49" s="594"/>
      <c r="K49" s="597"/>
      <c r="L49" s="598"/>
      <c r="M49" s="555"/>
      <c r="N49" s="556"/>
      <c r="O49" s="548"/>
      <c r="P49" s="549"/>
      <c r="Q49" s="548"/>
      <c r="R49" s="552"/>
      <c r="S49" s="501"/>
      <c r="T49" s="502"/>
      <c r="U49" s="85"/>
      <c r="V49" s="84"/>
      <c r="W49" s="528" t="s">
        <v>206</v>
      </c>
      <c r="X49" s="528"/>
    </row>
    <row r="50" spans="1:24" ht="25.5" customHeight="1" thickBot="1">
      <c r="A50" s="621"/>
      <c r="B50" s="66"/>
      <c r="C50" s="630" t="s">
        <v>207</v>
      </c>
      <c r="D50" s="631"/>
      <c r="E50" s="577" t="s">
        <v>208</v>
      </c>
      <c r="F50" s="578"/>
      <c r="G50" s="579" t="s">
        <v>209</v>
      </c>
      <c r="H50" s="580"/>
      <c r="I50" s="581" t="s">
        <v>210</v>
      </c>
      <c r="J50" s="582"/>
      <c r="K50" s="582"/>
      <c r="L50" s="582"/>
      <c r="M50" s="557"/>
      <c r="N50" s="541"/>
      <c r="O50" s="534" t="s">
        <v>211</v>
      </c>
      <c r="P50" s="541"/>
      <c r="Q50" s="534"/>
      <c r="R50" s="535"/>
      <c r="S50" s="536" t="s">
        <v>212</v>
      </c>
      <c r="T50" s="537"/>
      <c r="U50" s="538"/>
      <c r="V50" s="84"/>
      <c r="W50" s="528"/>
      <c r="X50" s="528"/>
    </row>
    <row r="51" spans="1:24" ht="13" thickBot="1">
      <c r="A51" s="621"/>
      <c r="B51" s="66"/>
      <c r="C51" s="632" t="s">
        <v>213</v>
      </c>
      <c r="D51" s="633"/>
      <c r="E51" s="558" t="s">
        <v>214</v>
      </c>
      <c r="F51" s="559"/>
      <c r="G51" s="560" t="s">
        <v>215</v>
      </c>
      <c r="H51" s="561"/>
      <c r="I51" s="562" t="s">
        <v>216</v>
      </c>
      <c r="J51" s="563"/>
      <c r="K51" s="564">
        <f>IF(I48="",IF([1]seuil!D6="","heure",[1]seuil!D6),K47)</f>
        <v>15.299999999999999</v>
      </c>
      <c r="L51" s="565"/>
      <c r="M51" s="539" t="s">
        <v>217</v>
      </c>
      <c r="N51" s="540"/>
      <c r="O51" s="542">
        <f>IF(Q15="","&lt;2-3 km",Q15*9/60)</f>
        <v>2.7</v>
      </c>
      <c r="P51" s="543"/>
      <c r="Q51" s="544">
        <f>IF([1]VMA!G17="","",ROUND([1]VMA!G17,-1))</f>
        <v>390</v>
      </c>
      <c r="R51" s="545"/>
      <c r="S51" s="568">
        <f>IF(Q15="","",Q15/3.6*30*1.1)</f>
        <v>165</v>
      </c>
      <c r="T51" s="569"/>
      <c r="U51" s="570"/>
      <c r="V51" s="86"/>
      <c r="W51" s="528"/>
      <c r="X51" s="528"/>
    </row>
    <row r="52" spans="1:24" ht="26.25" customHeight="1" thickBot="1">
      <c r="A52" s="621"/>
      <c r="B52" s="66"/>
      <c r="C52" s="628" t="s">
        <v>218</v>
      </c>
      <c r="D52" s="629"/>
      <c r="E52" s="571">
        <f>IF(W52="","70% du kilométrage hebdomadaire.",W52*0.7)</f>
        <v>49</v>
      </c>
      <c r="F52" s="572"/>
      <c r="G52" s="572"/>
      <c r="H52" s="573"/>
      <c r="I52" s="574">
        <f>IF(W52="","15% du kilométrage hebdomadaire.",W52*0.15)</f>
        <v>10.5</v>
      </c>
      <c r="J52" s="575"/>
      <c r="K52" s="575"/>
      <c r="L52" s="576"/>
      <c r="M52" s="529">
        <f>IF(W52="","10% du kilométrage hebdomadaire.",W52*0.1)</f>
        <v>7</v>
      </c>
      <c r="N52" s="529"/>
      <c r="O52" s="529"/>
      <c r="P52" s="529"/>
      <c r="Q52" s="529"/>
      <c r="R52" s="530"/>
      <c r="S52" s="531">
        <f>IF(W52="","5% du kilométrage.",W52*0.05)</f>
        <v>3.5</v>
      </c>
      <c r="T52" s="532"/>
      <c r="U52" s="533"/>
      <c r="V52" s="87"/>
      <c r="W52" s="88">
        <v>70</v>
      </c>
    </row>
    <row r="53" spans="1:24" ht="16.5" customHeight="1" thickBot="1">
      <c r="A53" s="621"/>
      <c r="B53" s="66"/>
      <c r="C53" s="609" t="s">
        <v>219</v>
      </c>
      <c r="D53" s="610"/>
      <c r="G53" s="89">
        <f>IF(AND(I39="",K32=""),"",ROUNDUP(G48-2.5*G48/100,0))</f>
        <v>151</v>
      </c>
      <c r="H53" s="90">
        <f>IF(AND(I39="",K32=""),"",ROUNDDOWN(G48+2.5*G48/100,0))</f>
        <v>158</v>
      </c>
      <c r="I53" s="91"/>
      <c r="K53" s="92">
        <f>IF(AND(I39="",K32=""),"",ROUNDUP(K48-2.5*K48/100,0))</f>
        <v>160</v>
      </c>
      <c r="L53" s="93">
        <f>IF(AND(I39="",K32=""),"",ROUNDDOWN(K48+2.5*K48/100,0))</f>
        <v>167</v>
      </c>
      <c r="S53" s="566">
        <f>IF(AND(I39="",K32=""),"",S48)</f>
        <v>177.01</v>
      </c>
      <c r="T53" s="567"/>
      <c r="U53" s="94">
        <f>IF(K32="",(IF(I39="","",(I39))),(IF(I39="",((K32)),(I39))))</f>
        <v>181</v>
      </c>
    </row>
    <row r="54" spans="1:24" s="95" customFormat="1" ht="16.5" customHeight="1" thickBot="1">
      <c r="A54" s="621"/>
      <c r="B54" s="66"/>
      <c r="C54" s="611" t="s">
        <v>220</v>
      </c>
      <c r="D54" s="612"/>
      <c r="G54" s="69"/>
      <c r="H54" s="69"/>
      <c r="J54" s="96"/>
      <c r="K54" s="69"/>
      <c r="S54" s="97"/>
      <c r="T54" s="97"/>
      <c r="U54" s="97"/>
      <c r="V54" s="97"/>
    </row>
    <row r="55" spans="1:24" ht="13.5" customHeight="1">
      <c r="B55" s="36" t="s">
        <v>221</v>
      </c>
    </row>
    <row r="56" spans="1:24" ht="6" customHeight="1" thickBot="1"/>
    <row r="57" spans="1:24" ht="13" thickBot="1">
      <c r="A57" s="613"/>
      <c r="B57" s="98" t="s">
        <v>222</v>
      </c>
      <c r="C57" s="614" t="s">
        <v>223</v>
      </c>
      <c r="D57" s="615"/>
      <c r="E57" s="616"/>
      <c r="F57" s="99" t="s">
        <v>179</v>
      </c>
      <c r="G57" s="617" t="s">
        <v>224</v>
      </c>
      <c r="H57" s="618"/>
    </row>
    <row r="58" spans="1:24">
      <c r="A58" s="613"/>
      <c r="B58" s="100"/>
      <c r="C58" s="101"/>
      <c r="D58" s="102"/>
      <c r="E58" s="103"/>
      <c r="F58" s="104"/>
      <c r="G58" s="619"/>
      <c r="H58" s="620"/>
    </row>
    <row r="59" spans="1:24" ht="15">
      <c r="A59" s="613"/>
      <c r="B59" s="105"/>
      <c r="C59" s="106"/>
      <c r="D59" s="107"/>
      <c r="E59" s="108"/>
      <c r="F59" s="109"/>
      <c r="G59" s="605"/>
      <c r="H59" s="606"/>
      <c r="L59" s="110"/>
    </row>
    <row r="60" spans="1:24">
      <c r="A60" s="613"/>
      <c r="B60" s="105"/>
      <c r="C60" s="106"/>
      <c r="D60" s="107"/>
      <c r="E60" s="108"/>
      <c r="F60" s="109"/>
      <c r="G60" s="605"/>
      <c r="H60" s="606"/>
    </row>
    <row r="61" spans="1:24">
      <c r="A61" s="613"/>
      <c r="B61" s="105"/>
      <c r="C61" s="106"/>
      <c r="D61" s="107"/>
      <c r="E61" s="108"/>
      <c r="F61" s="109"/>
      <c r="G61" s="605"/>
      <c r="H61" s="606"/>
    </row>
    <row r="62" spans="1:24">
      <c r="A62" s="613"/>
      <c r="B62" s="105"/>
      <c r="C62" s="106"/>
      <c r="D62" s="107"/>
      <c r="E62" s="108"/>
      <c r="F62" s="109"/>
      <c r="G62" s="605"/>
      <c r="H62" s="606"/>
    </row>
    <row r="63" spans="1:24">
      <c r="A63" s="613"/>
      <c r="B63" s="105"/>
      <c r="C63" s="106"/>
      <c r="D63" s="107"/>
      <c r="E63" s="108"/>
      <c r="F63" s="109"/>
      <c r="G63" s="605"/>
      <c r="H63" s="606"/>
    </row>
    <row r="64" spans="1:24">
      <c r="A64" s="613"/>
      <c r="B64" s="105"/>
      <c r="C64" s="106"/>
      <c r="D64" s="107"/>
      <c r="E64" s="108"/>
      <c r="F64" s="109"/>
      <c r="G64" s="605"/>
      <c r="H64" s="606"/>
    </row>
    <row r="65" spans="1:8" ht="13" thickBot="1">
      <c r="A65" s="613"/>
      <c r="B65" s="111"/>
      <c r="C65" s="112"/>
      <c r="D65" s="113"/>
      <c r="E65" s="114"/>
      <c r="F65" s="115"/>
      <c r="G65" s="607"/>
      <c r="H65" s="608"/>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A17"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411" t="s">
        <v>256</v>
      </c>
      <c r="D1" s="412"/>
      <c r="E1" s="412"/>
      <c r="F1" s="412"/>
      <c r="G1" s="412"/>
      <c r="H1" s="413"/>
    </row>
    <row r="2" spans="2:18" ht="18" customHeight="1" thickBot="1">
      <c r="B2" s="698" t="str">
        <f>IF(F3="","Saisir les résultats d'un test VMA dans la feuille allures","")</f>
        <v/>
      </c>
      <c r="C2" s="698"/>
      <c r="D2" s="698"/>
      <c r="E2" s="698"/>
      <c r="F2" s="698"/>
      <c r="G2" s="698"/>
      <c r="H2" s="698"/>
    </row>
    <row r="3" spans="2:18" ht="13" thickBot="1">
      <c r="B3" s="699" t="s">
        <v>257</v>
      </c>
      <c r="C3" s="699"/>
      <c r="D3" s="699"/>
      <c r="E3" s="700"/>
      <c r="F3" s="701">
        <f>[1]allures!K47</f>
        <v>15.299999999999999</v>
      </c>
      <c r="G3" s="702"/>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46" t="s">
        <v>258</v>
      </c>
      <c r="C5" s="646"/>
      <c r="D5" s="646"/>
      <c r="E5" s="646"/>
      <c r="F5" s="703"/>
      <c r="G5" s="131">
        <v>10.1</v>
      </c>
      <c r="H5" s="36" t="str">
        <f>IF(G5="","km","")</f>
        <v/>
      </c>
      <c r="I5" s="36" t="s">
        <v>259</v>
      </c>
      <c r="J5" s="132"/>
      <c r="K5" s="36" t="s">
        <v>260</v>
      </c>
      <c r="L5" s="132">
        <v>39</v>
      </c>
      <c r="M5" s="36" t="s">
        <v>176</v>
      </c>
      <c r="N5" s="133">
        <v>21</v>
      </c>
      <c r="O5" s="36" t="s">
        <v>177</v>
      </c>
    </row>
    <row r="6" spans="2:18" ht="13" thickBot="1">
      <c r="B6" s="696" t="str">
        <f>IF(OR(OR(G5="",G5=0),J5+L5+N5=0),"","vitesse SEUIL réelle")</f>
        <v>vitesse SEUIL réelle</v>
      </c>
      <c r="C6" s="697"/>
      <c r="D6" s="134">
        <f>IF(OR(G5=0,J5+L5+N5=0),"",(G5/(J5+L5/60+N5/3600)))</f>
        <v>15.400254129606097</v>
      </c>
      <c r="F6" s="36"/>
      <c r="P6" s="623" t="str">
        <f>IF(O9&gt;15000,"La distance doit être inférieure à 15000 m !","")</f>
        <v/>
      </c>
      <c r="Q6" s="687"/>
      <c r="R6" s="687"/>
    </row>
    <row r="7" spans="2:18" ht="12.75" customHeight="1">
      <c r="B7" s="36" t="s">
        <v>261</v>
      </c>
      <c r="P7" s="687"/>
      <c r="Q7" s="687"/>
      <c r="R7" s="687"/>
    </row>
    <row r="8" spans="2:18" ht="13" thickBot="1">
      <c r="P8" s="687"/>
      <c r="Q8" s="687"/>
      <c r="R8" s="687"/>
    </row>
    <row r="9" spans="2:18" ht="13" thickBot="1">
      <c r="B9" s="37" t="s">
        <v>262</v>
      </c>
      <c r="E9" s="688" t="s">
        <v>263</v>
      </c>
      <c r="F9" s="640"/>
      <c r="G9" s="640"/>
      <c r="H9" s="640"/>
      <c r="I9" s="640"/>
      <c r="J9" s="640"/>
      <c r="K9" s="640"/>
      <c r="L9" s="640"/>
      <c r="M9" s="640"/>
      <c r="N9" s="641"/>
      <c r="O9" s="135">
        <v>6800</v>
      </c>
      <c r="P9" s="48" t="str">
        <f>IF(O9="","en mètres","")</f>
        <v/>
      </c>
    </row>
    <row r="10" spans="2:18">
      <c r="B10" s="36" t="s">
        <v>264</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265</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266</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267</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268</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269</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270</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271</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272</v>
      </c>
      <c r="D20" s="142">
        <f>IF(OR(D6=0,D6=""),IF(F3="","",ROUND(F3*8/60*5,0)*200),ROUND(D6*8/60*5,0)*200)</f>
        <v>2000</v>
      </c>
      <c r="E20" s="143">
        <f>IF(F3="","",ROUNDDOWN(D20/400,0))</f>
        <v>5</v>
      </c>
      <c r="F20" s="66" t="str">
        <f>IF(F3="","",IF(OR(E20=0,E20=1),"tour","tours"))</f>
        <v>tours</v>
      </c>
      <c r="G20" s="66" t="str">
        <f>IF(F3="","",IF((D20/400)-E20=0,"","et demi"))</f>
        <v/>
      </c>
      <c r="I20" s="66" t="s">
        <v>259</v>
      </c>
      <c r="J20" s="144">
        <f>IF(OR(D6=0,D6=""),IF(F3="","",ROUNDDOWN((D20/F3/1000*60),0)),ROUNDDOWN((D20/D6/1000*60),0))</f>
        <v>7</v>
      </c>
      <c r="K20" s="671">
        <f>IF(OR(D6=0,D6=""),IF(F3="","",((D20/F3/1000*60)-J20)*60),((D20/D6/1000*60)-J20)*60)</f>
        <v>47.524752475247624</v>
      </c>
      <c r="L20" s="672"/>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273</v>
      </c>
      <c r="D21" s="142">
        <f>IF(OR(D6=0,D6=""),IF(F3="","",ROUND(F3*6/60*5,0)*200),ROUND(D6*6/60*5,0)*200)</f>
        <v>1600</v>
      </c>
      <c r="E21" s="143">
        <f>IF(F3="","",ROUNDDOWN(D21/400,0))</f>
        <v>4</v>
      </c>
      <c r="F21" s="66" t="str">
        <f>IF(F3="","",IF(OR(E21=0,E21=1),"tour","tours"))</f>
        <v>tours</v>
      </c>
      <c r="G21" s="66" t="str">
        <f>IF(F3="","",IF((D21/400)-E21=0,"","et demi"))</f>
        <v/>
      </c>
      <c r="I21" s="66" t="s">
        <v>259</v>
      </c>
      <c r="J21" s="144">
        <f>IF(OR(D6=0,D6=""),IF(F3="","",ROUNDDOWN((D21/F3/1000*60),0)),ROUNDDOWN((D21/D6/1000*60),0))</f>
        <v>6</v>
      </c>
      <c r="K21" s="671">
        <f>IF(OR(D6=0,D6=""),IF(F3="","",((D21/F3/1000*60)-J21)*60),((D21/D6/1000*60)-J21)*60)</f>
        <v>14.019801980198032</v>
      </c>
      <c r="L21" s="672"/>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89" t="s">
        <v>274</v>
      </c>
      <c r="C22" s="675"/>
      <c r="D22" s="675"/>
      <c r="E22" s="675"/>
      <c r="F22" s="690"/>
      <c r="G22" s="691">
        <f>IF([1]allures!U53="","",[1]allures!K48)</f>
        <v>163.70999999999998</v>
      </c>
      <c r="H22" s="693" t="s">
        <v>275</v>
      </c>
      <c r="I22" s="694"/>
      <c r="J22" s="694"/>
      <c r="K22" s="694"/>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75"/>
      <c r="C23" s="675"/>
      <c r="D23" s="675"/>
      <c r="E23" s="675"/>
      <c r="F23" s="690"/>
      <c r="G23" s="692"/>
      <c r="H23" s="695"/>
      <c r="I23" s="694"/>
      <c r="J23" s="694"/>
      <c r="K23" s="694"/>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78" t="s">
        <v>276</v>
      </c>
      <c r="C24" s="679"/>
      <c r="D24" s="679"/>
      <c r="E24" s="679"/>
      <c r="F24" s="679"/>
      <c r="G24" s="145">
        <f>[1]allures!K53</f>
        <v>160</v>
      </c>
      <c r="H24" s="146" t="s">
        <v>277</v>
      </c>
      <c r="I24" s="146">
        <f>[1]allures!L53</f>
        <v>167</v>
      </c>
      <c r="J24" s="147" t="s">
        <v>278</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279</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280</v>
      </c>
      <c r="E26" s="36"/>
      <c r="F26" s="36"/>
      <c r="H26" s="48" t="s">
        <v>281</v>
      </c>
      <c r="I26" s="680">
        <f>IF([1]allures!U53="","",G22-20)</f>
        <v>143.70999999999998</v>
      </c>
      <c r="J26" s="681"/>
      <c r="K26" s="682"/>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83" t="s">
        <v>282</v>
      </c>
      <c r="C28" s="683"/>
      <c r="D28" s="683"/>
      <c r="E28" s="683"/>
      <c r="F28" s="683"/>
      <c r="G28" s="684">
        <v>2000</v>
      </c>
      <c r="H28" s="684"/>
      <c r="I28" s="117" t="s">
        <v>259</v>
      </c>
      <c r="J28" s="144">
        <f>IF(OR(D6=0,D6=""),IF(F3="","",INT(G28/F3/1000*60)),INT(G28/D6/1000*60))</f>
        <v>7</v>
      </c>
      <c r="K28" s="685">
        <f>IF(OR(D6=0,D6=""),IF(F3="","",((G28/F3/1000*60)-INT(G28/F3/1000*60))*60),((G28/D6/1000*60)-INT(G28/D6/1000*60))*60)</f>
        <v>47.524752475247624</v>
      </c>
      <c r="L28" s="686"/>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84">
        <v>3000</v>
      </c>
      <c r="H30" s="684"/>
      <c r="I30" s="117" t="s">
        <v>259</v>
      </c>
      <c r="J30" s="144">
        <f>IF(OR(D6=0,D6=""),IF(F3="","",INT(G30/F3/1000*60)),INT(G30/D6/1000*60))</f>
        <v>11</v>
      </c>
      <c r="K30" s="685">
        <f>IF(OR(D6=0,D6=""),IF(F3="","",((G30/F3/1000*60)-INT(G30/F3/1000*60))*60),((G30/D6/1000*60)-INT(G30/D6/1000*60))*60)</f>
        <v>41.287128712871457</v>
      </c>
      <c r="L30" s="686"/>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84">
        <v>2000</v>
      </c>
      <c r="H32" s="684"/>
      <c r="I32" s="154" t="s">
        <v>259</v>
      </c>
      <c r="J32" s="144">
        <f>IF(OR(D6=0,D6=""),IF(F3="","",INT(G32/F3/1000*60)),INT(G32/D6/1000*60))</f>
        <v>7</v>
      </c>
      <c r="K32" s="685">
        <f>IF(OR(D6=0,D6=""),IF(F3="","",((G32/F3/1000*60)-INT(G32/F3/1000*60))*60),((G32/D6/1000*60)-INT(G32/D6/1000*60))*60)</f>
        <v>47.524752475247624</v>
      </c>
      <c r="L32" s="686"/>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283</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284</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285</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40" t="s">
        <v>286</v>
      </c>
      <c r="C37" s="641"/>
      <c r="D37" s="142">
        <f>IF(OR(D6=0,D6=""),IF(F3="","",ROUND(F3*13/60*5,0)*200),ROUND(D6*13/60*5,0)*200)</f>
        <v>3400</v>
      </c>
      <c r="E37" s="59">
        <f>IF(F3="","",IF(F3="","",ROUNDDOWN(D37/400,0)))</f>
        <v>8</v>
      </c>
      <c r="F37" s="66" t="str">
        <f>IF(F3="","",IF(F3="","",IF(OR(E37=0,E37=1),"tour","tours")))</f>
        <v>tours</v>
      </c>
      <c r="G37" s="36" t="str">
        <f>IF(F3="","",IF((D37/400)-E37=0,"","et demi"))</f>
        <v>et demi</v>
      </c>
      <c r="I37" s="66" t="s">
        <v>259</v>
      </c>
      <c r="J37" s="144">
        <f>IF(OR(D6=0,D6=""),IF(F3="","",ROUNDDOWN((D37/F3/1000*60),0)),ROUNDDOWN((D37/D6/1000*60),0))</f>
        <v>13</v>
      </c>
      <c r="K37" s="671">
        <f>IF(OR(D6=0,D6=""),IF(F3="","",((D37/F3/1000*60)-J37)*60),((D37/D6/1000*60)-J37)*60)</f>
        <v>14.792079207920885</v>
      </c>
      <c r="L37" s="672"/>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287</v>
      </c>
      <c r="D38" s="142">
        <f>IF(OR(D6=0,D6=""),IF(F3="","",ROUND(F3*20/60*5,0)*200),ROUND(D6*20/60*5,0)*200)</f>
        <v>5200</v>
      </c>
      <c r="E38" s="59">
        <f>IF(F3="","",IF(F3="","",ROUNDDOWN(D38/400,0)))</f>
        <v>13</v>
      </c>
      <c r="F38" s="66" t="str">
        <f>IF(F3="","",IF(OR(E38=0,E38=1),"tour","tours"))</f>
        <v>tours</v>
      </c>
      <c r="G38" s="36" t="str">
        <f>IF(F3="","",IF((D38/400)-E38=0,"","et demi"))</f>
        <v/>
      </c>
      <c r="I38" s="66" t="s">
        <v>259</v>
      </c>
      <c r="J38" s="144">
        <f>IF(OR(D6=0,D6=""),IF(F3="","",ROUNDDOWN((D38/F3/1000*60),0)),ROUNDDOWN((D38/D6/1000*60),0))</f>
        <v>20</v>
      </c>
      <c r="K38" s="671">
        <f>IF(OR(D6=0,D6=""),IF(F3="","",((D38/F3/1000*60)-J38)*60),((D38/D6/1000*60)-J38)*60)</f>
        <v>15.564356435643845</v>
      </c>
      <c r="L38" s="672"/>
      <c r="M38" s="36" t="s">
        <v>288</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289</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40" t="s">
        <v>286</v>
      </c>
      <c r="C40" s="641"/>
      <c r="D40" s="142">
        <f>IF(OR(D6=0,D6=""),IF(F3="","",ROUND(F3*25/60*5,0)*200),ROUND(D6*25/60*5,0)*200)</f>
        <v>6400</v>
      </c>
      <c r="E40" s="59">
        <f>IF(F3="","",ROUNDDOWN(D40/400,0))</f>
        <v>16</v>
      </c>
      <c r="F40" s="66" t="str">
        <f>IF(F3="","",IF(OR(E40=0,E40=1),"tour","tours"))</f>
        <v>tours</v>
      </c>
      <c r="G40" s="36" t="str">
        <f>IF(F3="","",IF((D40/400)-E40=0,"","et demi"))</f>
        <v/>
      </c>
      <c r="I40" s="66" t="s">
        <v>259</v>
      </c>
      <c r="J40" s="144">
        <f>IF(OR(D6=0,D6=""),IF(F3="","",ROUNDDOWN((D40/F3/1000*60),0)),ROUNDDOWN((D40/D6/1000*60),0))</f>
        <v>24</v>
      </c>
      <c r="K40" s="671">
        <f>IF(OR(D6=0,D6=""),IF(F3="","",((D40/F3/1000*60)-J40)*60),((D40/D6/1000*60)-J40)*60)</f>
        <v>56.079207920792129</v>
      </c>
      <c r="L40" s="672"/>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287</v>
      </c>
      <c r="D41" s="142">
        <f>IF(OR(D6=0,D6=""),IF(F3="","",ROUND(F3*35/60*5,0)*200),ROUND(D6*35/60*5,0)*200)</f>
        <v>9000</v>
      </c>
      <c r="E41" s="59">
        <f>IF(F3="","",ROUNDDOWN(D41/400,0))</f>
        <v>22</v>
      </c>
      <c r="F41" s="66" t="str">
        <f>IF(F3="","",IF(OR(E41=0,E41=1),"tour","tours"))</f>
        <v>tours</v>
      </c>
      <c r="G41" s="36" t="str">
        <f>IF(F3="","",IF((D41/400)-E41=0,"","et demi"))</f>
        <v>et demi</v>
      </c>
      <c r="I41" s="66" t="s">
        <v>259</v>
      </c>
      <c r="J41" s="144">
        <f>IF(OR(D6=0,D6=""),IF(F3="","",ROUNDDOWN((D41/F3/1000*60),0)),ROUNDDOWN((D41/D6/1000*60),0))</f>
        <v>35</v>
      </c>
      <c r="K41" s="671">
        <f>IF(OR(D6=0,D6=""),IF(F3="","",((D41/F3/1000*60)-J41)*60),((D41/D6/1000*60)-J41)*60)</f>
        <v>3.8613861386140513</v>
      </c>
      <c r="L41" s="672"/>
      <c r="M41" s="36" t="s">
        <v>288</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290</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259</v>
      </c>
      <c r="J44" s="166">
        <f>IF(OR(D6=0,D6=""),IF(F3="","",ROUNDDOWN((D44/F3/1000*60),0)),ROUNDDOWN((D44/D6/1000*60),0))</f>
        <v>39</v>
      </c>
      <c r="K44" s="673">
        <f>IF(OR(D6=0,D6=""),IF(F3="","",((D44/F3/1000*60)-J44)*60),((D44/D6/1000*60)-J44)*60)</f>
        <v>44.376237623762762</v>
      </c>
      <c r="L44" s="674"/>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259</v>
      </c>
      <c r="J45" s="166">
        <f>IF(OR(D6=0,D6=""),IF(F3="","",ROUNDDOWN((D45/F3/1000*60),0)),ROUNDDOWN((D45/D6/1000*60),0))</f>
        <v>49</v>
      </c>
      <c r="K45" s="673">
        <f>IF(OR(D6=0,D6=""),IF(F3="","",((D45/F3/1000*60)-J45)*60),((D45/D6/1000*60)-J45)*60)</f>
        <v>52.158415841584258</v>
      </c>
      <c r="L45" s="674"/>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75" t="s">
        <v>291</v>
      </c>
      <c r="B47" s="675"/>
      <c r="C47" s="675"/>
      <c r="D47" s="675"/>
      <c r="E47" s="675"/>
      <c r="F47" s="675"/>
      <c r="G47" s="676" t="s">
        <v>292</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75"/>
      <c r="B48" s="675"/>
      <c r="C48" s="675"/>
      <c r="D48" s="675"/>
      <c r="E48" s="675"/>
      <c r="F48" s="675"/>
      <c r="G48" s="677"/>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70"/>
  <sheetViews>
    <sheetView showGridLines="0" workbookViewId="0">
      <selection activeCell="B6" sqref="B6:C8"/>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s>
  <sheetData>
    <row r="1" spans="2:12" ht="13" thickBot="1"/>
    <row r="2" spans="2:12" ht="23" customHeight="1" thickBot="1">
      <c r="B2" s="411" t="s">
        <v>244</v>
      </c>
      <c r="C2" s="412"/>
      <c r="D2" s="412"/>
      <c r="E2" s="412"/>
      <c r="F2" s="412"/>
      <c r="G2" s="412"/>
      <c r="H2" s="412"/>
      <c r="I2" s="412"/>
      <c r="J2" s="412"/>
      <c r="K2" s="412"/>
      <c r="L2" s="413"/>
    </row>
    <row r="3" spans="2:12" ht="13" thickBot="1"/>
    <row r="4" spans="2:12" ht="30" customHeight="1" thickBot="1">
      <c r="B4" s="414" t="s">
        <v>246</v>
      </c>
      <c r="C4" s="415"/>
      <c r="D4" s="415"/>
      <c r="E4" s="415"/>
      <c r="F4" s="415"/>
      <c r="G4" s="415"/>
      <c r="H4" s="415"/>
      <c r="I4" s="415"/>
      <c r="J4" s="415"/>
      <c r="K4" s="415"/>
      <c r="L4" s="416"/>
    </row>
    <row r="5" spans="2:12" ht="37" thickBot="1">
      <c r="B5" s="26" t="s">
        <v>239</v>
      </c>
      <c r="C5" s="26" t="s">
        <v>245</v>
      </c>
      <c r="D5" s="26" t="s">
        <v>251</v>
      </c>
      <c r="E5" s="20" t="s">
        <v>247</v>
      </c>
      <c r="F5" s="125" t="s">
        <v>252</v>
      </c>
      <c r="G5" s="125" t="s">
        <v>253</v>
      </c>
      <c r="H5" s="125" t="s">
        <v>254</v>
      </c>
      <c r="I5" s="125" t="s">
        <v>443</v>
      </c>
      <c r="J5" s="125" t="s">
        <v>248</v>
      </c>
      <c r="K5" s="125" t="s">
        <v>249</v>
      </c>
      <c r="L5" s="125" t="s">
        <v>250</v>
      </c>
    </row>
    <row r="6" spans="2:12"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row>
    <row r="7" spans="2:12"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2"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2"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2"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2"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2"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2"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2"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2"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2"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2">
    <mergeCell ref="B4:L4"/>
    <mergeCell ref="B2:L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election activeCell="I17" sqref="I17"/>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411" t="s">
        <v>165</v>
      </c>
      <c r="C2" s="412"/>
      <c r="D2" s="412"/>
      <c r="E2" s="412"/>
    </row>
    <row r="8" spans="2:9" ht="13" thickBot="1"/>
    <row r="9" spans="2:9" ht="14" thickBot="1">
      <c r="B9" s="11" t="s">
        <v>74</v>
      </c>
      <c r="C9" s="12" t="s">
        <v>0</v>
      </c>
      <c r="D9" s="12" t="s">
        <v>8</v>
      </c>
      <c r="E9" s="12" t="s">
        <v>22</v>
      </c>
      <c r="H9" s="12" t="s">
        <v>38</v>
      </c>
      <c r="I9" s="12" t="s">
        <v>61</v>
      </c>
    </row>
    <row r="10" spans="2:9" ht="14" thickBot="1">
      <c r="B10" s="5">
        <f t="shared" ref="B10:B70" si="0">B11-1</f>
        <v>42002</v>
      </c>
      <c r="C10" s="6" t="s">
        <v>1</v>
      </c>
      <c r="D10" s="6" t="s">
        <v>9</v>
      </c>
      <c r="E10" s="426" t="s">
        <v>23</v>
      </c>
      <c r="H10" s="6" t="s">
        <v>39</v>
      </c>
      <c r="I10" s="6" t="s">
        <v>62</v>
      </c>
    </row>
    <row r="11" spans="2:9" ht="14" thickBot="1">
      <c r="B11" s="5">
        <f t="shared" si="0"/>
        <v>42003</v>
      </c>
      <c r="C11" s="6" t="s">
        <v>2</v>
      </c>
      <c r="D11" s="6" t="s">
        <v>10</v>
      </c>
      <c r="E11" s="426"/>
      <c r="H11" s="6" t="s">
        <v>40</v>
      </c>
      <c r="I11" s="6" t="s">
        <v>62</v>
      </c>
    </row>
    <row r="12" spans="2:9" ht="14" thickBot="1">
      <c r="B12" s="5">
        <f t="shared" si="0"/>
        <v>42004</v>
      </c>
      <c r="C12" s="7" t="s">
        <v>3</v>
      </c>
      <c r="D12" s="7" t="s">
        <v>11</v>
      </c>
      <c r="E12" s="426"/>
      <c r="H12" s="6" t="s">
        <v>41</v>
      </c>
      <c r="I12" s="6" t="s">
        <v>63</v>
      </c>
    </row>
    <row r="13" spans="2:9" ht="14" thickBot="1">
      <c r="B13" s="5">
        <f t="shared" si="0"/>
        <v>42005</v>
      </c>
      <c r="C13" s="6" t="s">
        <v>4</v>
      </c>
      <c r="D13" s="6" t="s">
        <v>12</v>
      </c>
      <c r="E13" s="426"/>
      <c r="H13" s="6" t="s">
        <v>42</v>
      </c>
      <c r="I13" s="6" t="s">
        <v>64</v>
      </c>
    </row>
    <row r="14" spans="2:9" ht="14" thickBot="1">
      <c r="B14" s="5">
        <f t="shared" si="0"/>
        <v>42006</v>
      </c>
      <c r="C14" s="6" t="s">
        <v>5</v>
      </c>
      <c r="D14" s="6" t="s">
        <v>9</v>
      </c>
      <c r="E14" s="426"/>
      <c r="H14" s="6" t="s">
        <v>43</v>
      </c>
      <c r="I14" s="6" t="s">
        <v>65</v>
      </c>
    </row>
    <row r="15" spans="2:9" ht="14" thickBot="1">
      <c r="B15" s="5">
        <f t="shared" si="0"/>
        <v>42007</v>
      </c>
      <c r="C15" s="6" t="s">
        <v>6</v>
      </c>
      <c r="D15" s="6" t="s">
        <v>13</v>
      </c>
      <c r="E15" s="426"/>
      <c r="H15" s="6" t="s">
        <v>44</v>
      </c>
      <c r="I15" s="6" t="s">
        <v>64</v>
      </c>
    </row>
    <row r="16" spans="2:9" ht="14" thickBot="1">
      <c r="B16" s="5">
        <f t="shared" si="0"/>
        <v>42008</v>
      </c>
      <c r="C16" s="7" t="s">
        <v>7</v>
      </c>
      <c r="D16" s="7" t="s">
        <v>14</v>
      </c>
      <c r="E16" s="426"/>
      <c r="H16" s="6" t="s">
        <v>45</v>
      </c>
      <c r="I16" s="6" t="s">
        <v>65</v>
      </c>
    </row>
    <row r="17" spans="2:12" ht="22" thickBot="1">
      <c r="B17" s="5">
        <f t="shared" si="0"/>
        <v>42009</v>
      </c>
      <c r="C17" s="6" t="s">
        <v>1</v>
      </c>
      <c r="D17" s="6" t="s">
        <v>9</v>
      </c>
      <c r="E17" s="426" t="s">
        <v>24</v>
      </c>
      <c r="H17" s="6" t="s">
        <v>46</v>
      </c>
      <c r="I17" s="13"/>
    </row>
    <row r="18" spans="2:12" ht="14" thickBot="1">
      <c r="B18" s="5">
        <f t="shared" si="0"/>
        <v>42010</v>
      </c>
      <c r="C18" s="6" t="s">
        <v>2</v>
      </c>
      <c r="D18" s="6" t="s">
        <v>15</v>
      </c>
      <c r="E18" s="426"/>
      <c r="H18" s="7" t="s">
        <v>47</v>
      </c>
      <c r="I18" s="7" t="s">
        <v>62</v>
      </c>
    </row>
    <row r="19" spans="2:12" ht="14" thickBot="1">
      <c r="B19" s="5">
        <f t="shared" si="0"/>
        <v>42011</v>
      </c>
      <c r="C19" s="7" t="s">
        <v>3</v>
      </c>
      <c r="D19" s="7" t="s">
        <v>11</v>
      </c>
      <c r="E19" s="426"/>
      <c r="H19" s="704" t="s">
        <v>48</v>
      </c>
      <c r="I19" s="704"/>
      <c r="L19" s="18" t="s">
        <v>641</v>
      </c>
    </row>
    <row r="20" spans="2:12" ht="14" thickBot="1">
      <c r="B20" s="5">
        <f t="shared" si="0"/>
        <v>42012</v>
      </c>
      <c r="C20" s="6" t="s">
        <v>4</v>
      </c>
      <c r="D20" s="6" t="s">
        <v>12</v>
      </c>
      <c r="E20" s="426"/>
      <c r="H20" s="7" t="s">
        <v>49</v>
      </c>
      <c r="I20" s="14" t="s">
        <v>66</v>
      </c>
    </row>
    <row r="21" spans="2:12" ht="14" thickBot="1">
      <c r="B21" s="5">
        <f t="shared" si="0"/>
        <v>42013</v>
      </c>
      <c r="C21" s="6" t="s">
        <v>5</v>
      </c>
      <c r="D21" s="6" t="s">
        <v>9</v>
      </c>
      <c r="E21" s="426"/>
      <c r="H21" s="6" t="s">
        <v>50</v>
      </c>
      <c r="I21" s="15" t="s">
        <v>67</v>
      </c>
    </row>
    <row r="22" spans="2:12" ht="14" thickBot="1">
      <c r="B22" s="5">
        <f t="shared" si="0"/>
        <v>42014</v>
      </c>
      <c r="C22" s="8" t="s">
        <v>6</v>
      </c>
      <c r="D22" s="8" t="s">
        <v>13</v>
      </c>
      <c r="E22" s="426"/>
      <c r="H22" s="7" t="s">
        <v>51</v>
      </c>
      <c r="I22" s="14" t="s">
        <v>68</v>
      </c>
    </row>
    <row r="23" spans="2:12" ht="14" thickBot="1">
      <c r="B23" s="5">
        <f t="shared" si="0"/>
        <v>42015</v>
      </c>
      <c r="C23" s="7" t="s">
        <v>7</v>
      </c>
      <c r="D23" s="7" t="s">
        <v>14</v>
      </c>
      <c r="E23" s="426"/>
      <c r="H23" s="704" t="s">
        <v>52</v>
      </c>
      <c r="I23" s="704"/>
      <c r="K23" s="253">
        <v>7.2916666666666671E-2</v>
      </c>
    </row>
    <row r="24" spans="2:12" ht="14" thickBot="1">
      <c r="B24" s="5">
        <f t="shared" si="0"/>
        <v>42016</v>
      </c>
      <c r="C24" s="6" t="s">
        <v>1</v>
      </c>
      <c r="D24" s="6" t="s">
        <v>9</v>
      </c>
      <c r="E24" s="426" t="s">
        <v>25</v>
      </c>
      <c r="H24" s="7" t="s">
        <v>53</v>
      </c>
      <c r="I24" s="7" t="s">
        <v>69</v>
      </c>
    </row>
    <row r="25" spans="2:12" ht="14" thickBot="1">
      <c r="B25" s="5">
        <f t="shared" si="0"/>
        <v>42017</v>
      </c>
      <c r="C25" s="6" t="s">
        <v>2</v>
      </c>
      <c r="D25" s="6" t="s">
        <v>16</v>
      </c>
      <c r="E25" s="426"/>
      <c r="H25" s="6" t="s">
        <v>54</v>
      </c>
      <c r="I25" s="6" t="s">
        <v>69</v>
      </c>
    </row>
    <row r="26" spans="2:12" ht="14" thickBot="1">
      <c r="B26" s="5">
        <f t="shared" si="0"/>
        <v>42018</v>
      </c>
      <c r="C26" s="7" t="s">
        <v>3</v>
      </c>
      <c r="D26" s="7" t="s">
        <v>11</v>
      </c>
      <c r="E26" s="426"/>
      <c r="H26" s="7" t="s">
        <v>55</v>
      </c>
      <c r="I26" s="7" t="s">
        <v>70</v>
      </c>
    </row>
    <row r="27" spans="2:12" ht="14" thickBot="1">
      <c r="B27" s="5">
        <f t="shared" si="0"/>
        <v>42019</v>
      </c>
      <c r="C27" s="6" t="s">
        <v>4</v>
      </c>
      <c r="D27" s="6" t="s">
        <v>12</v>
      </c>
      <c r="E27" s="426"/>
      <c r="H27" s="7" t="s">
        <v>56</v>
      </c>
      <c r="I27" s="7" t="s">
        <v>71</v>
      </c>
    </row>
    <row r="28" spans="2:12" ht="14" thickBot="1">
      <c r="B28" s="5">
        <f t="shared" si="0"/>
        <v>42020</v>
      </c>
      <c r="C28" s="6" t="s">
        <v>5</v>
      </c>
      <c r="D28" s="6" t="s">
        <v>9</v>
      </c>
      <c r="E28" s="426"/>
      <c r="H28" s="6" t="s">
        <v>57</v>
      </c>
      <c r="I28" s="6" t="s">
        <v>70</v>
      </c>
    </row>
    <row r="29" spans="2:12" ht="14" thickBot="1">
      <c r="B29" s="5">
        <f t="shared" si="0"/>
        <v>42021</v>
      </c>
      <c r="C29" s="6" t="s">
        <v>6</v>
      </c>
      <c r="D29" s="6" t="s">
        <v>13</v>
      </c>
      <c r="E29" s="426"/>
      <c r="H29" s="7" t="s">
        <v>58</v>
      </c>
      <c r="I29" s="7" t="s">
        <v>70</v>
      </c>
    </row>
    <row r="30" spans="2:12" ht="14" thickBot="1">
      <c r="B30" s="5">
        <f t="shared" si="0"/>
        <v>42022</v>
      </c>
      <c r="C30" s="7" t="s">
        <v>7</v>
      </c>
      <c r="D30" s="7" t="s">
        <v>17</v>
      </c>
      <c r="E30" s="426"/>
      <c r="H30" s="6" t="s">
        <v>59</v>
      </c>
      <c r="I30" s="6" t="s">
        <v>72</v>
      </c>
    </row>
    <row r="31" spans="2:12" ht="14" thickBot="1">
      <c r="B31" s="5">
        <f t="shared" si="0"/>
        <v>42023</v>
      </c>
      <c r="C31" s="6" t="s">
        <v>1</v>
      </c>
      <c r="D31" s="6" t="s">
        <v>9</v>
      </c>
      <c r="E31" s="426" t="s">
        <v>26</v>
      </c>
      <c r="H31" s="7" t="s">
        <v>60</v>
      </c>
      <c r="I31" s="7" t="s">
        <v>73</v>
      </c>
    </row>
    <row r="32" spans="2:12" ht="14" thickBot="1">
      <c r="B32" s="5">
        <f t="shared" si="0"/>
        <v>42024</v>
      </c>
      <c r="C32" s="7" t="s">
        <v>2</v>
      </c>
      <c r="D32" s="7" t="s">
        <v>11</v>
      </c>
      <c r="E32" s="426"/>
    </row>
    <row r="33" spans="2:5" ht="14" thickBot="1">
      <c r="B33" s="5">
        <f t="shared" si="0"/>
        <v>42025</v>
      </c>
      <c r="C33" s="6" t="s">
        <v>3</v>
      </c>
      <c r="D33" s="6" t="s">
        <v>18</v>
      </c>
      <c r="E33" s="426"/>
    </row>
    <row r="34" spans="2:5" ht="14" thickBot="1">
      <c r="B34" s="5">
        <f t="shared" si="0"/>
        <v>42026</v>
      </c>
      <c r="C34" s="6" t="s">
        <v>4</v>
      </c>
      <c r="D34" s="6" t="s">
        <v>11</v>
      </c>
      <c r="E34" s="426"/>
    </row>
    <row r="35" spans="2:5" ht="14" thickBot="1">
      <c r="B35" s="5">
        <f t="shared" si="0"/>
        <v>42027</v>
      </c>
      <c r="C35" s="6" t="s">
        <v>5</v>
      </c>
      <c r="D35" s="6" t="s">
        <v>9</v>
      </c>
      <c r="E35" s="426"/>
    </row>
    <row r="36" spans="2:5" ht="14" thickBot="1">
      <c r="B36" s="5">
        <f t="shared" si="0"/>
        <v>42028</v>
      </c>
      <c r="C36" s="7" t="s">
        <v>6</v>
      </c>
      <c r="D36" s="7" t="s">
        <v>19</v>
      </c>
      <c r="E36" s="426"/>
    </row>
    <row r="37" spans="2:5" ht="14" thickBot="1">
      <c r="B37" s="5">
        <f t="shared" si="0"/>
        <v>42029</v>
      </c>
      <c r="C37" s="7" t="s">
        <v>7</v>
      </c>
      <c r="D37" s="7" t="s">
        <v>11</v>
      </c>
      <c r="E37" s="426"/>
    </row>
    <row r="38" spans="2:5" ht="14" thickBot="1">
      <c r="B38" s="5">
        <f t="shared" si="0"/>
        <v>42030</v>
      </c>
      <c r="C38" s="6" t="s">
        <v>1</v>
      </c>
      <c r="D38" s="6" t="s">
        <v>9</v>
      </c>
      <c r="E38" s="426" t="s">
        <v>27</v>
      </c>
    </row>
    <row r="39" spans="2:5" ht="14" thickBot="1">
      <c r="B39" s="5">
        <f t="shared" si="0"/>
        <v>42031</v>
      </c>
      <c r="C39" s="6" t="s">
        <v>2</v>
      </c>
      <c r="D39" s="6" t="s">
        <v>20</v>
      </c>
      <c r="E39" s="426"/>
    </row>
    <row r="40" spans="2:5" ht="14" thickBot="1">
      <c r="B40" s="5">
        <f t="shared" si="0"/>
        <v>42032</v>
      </c>
      <c r="C40" s="7" t="s">
        <v>3</v>
      </c>
      <c r="D40" s="7" t="s">
        <v>11</v>
      </c>
      <c r="E40" s="426"/>
    </row>
    <row r="41" spans="2:5" ht="14" thickBot="1">
      <c r="B41" s="5">
        <f t="shared" si="0"/>
        <v>42033</v>
      </c>
      <c r="C41" s="6" t="s">
        <v>4</v>
      </c>
      <c r="D41" s="6" t="s">
        <v>13</v>
      </c>
      <c r="E41" s="426"/>
    </row>
    <row r="42" spans="2:5" ht="14" thickBot="1">
      <c r="B42" s="5">
        <f t="shared" si="0"/>
        <v>42034</v>
      </c>
      <c r="C42" s="6" t="s">
        <v>5</v>
      </c>
      <c r="D42" s="6" t="s">
        <v>9</v>
      </c>
      <c r="E42" s="426"/>
    </row>
    <row r="43" spans="2:5" ht="14" thickBot="1">
      <c r="B43" s="5">
        <f t="shared" si="0"/>
        <v>42035</v>
      </c>
      <c r="C43" s="6" t="s">
        <v>6</v>
      </c>
      <c r="D43" s="6" t="s">
        <v>21</v>
      </c>
      <c r="E43" s="426"/>
    </row>
    <row r="44" spans="2:5" ht="14" thickBot="1">
      <c r="B44" s="5">
        <f t="shared" si="0"/>
        <v>42036</v>
      </c>
      <c r="C44" s="7" t="s">
        <v>7</v>
      </c>
      <c r="D44" s="7" t="s">
        <v>14</v>
      </c>
      <c r="E44" s="426"/>
    </row>
    <row r="45" spans="2:5" ht="14" thickBot="1">
      <c r="B45" s="5">
        <f t="shared" si="0"/>
        <v>42037</v>
      </c>
      <c r="C45" s="6" t="s">
        <v>1</v>
      </c>
      <c r="D45" s="6" t="s">
        <v>9</v>
      </c>
      <c r="E45" s="426" t="s">
        <v>34</v>
      </c>
    </row>
    <row r="46" spans="2:5" ht="14" thickBot="1">
      <c r="B46" s="5">
        <f t="shared" si="0"/>
        <v>42038</v>
      </c>
      <c r="C46" s="6" t="s">
        <v>2</v>
      </c>
      <c r="D46" s="6" t="s">
        <v>13</v>
      </c>
      <c r="E46" s="426"/>
    </row>
    <row r="47" spans="2:5" ht="14" thickBot="1">
      <c r="B47" s="5">
        <f t="shared" si="0"/>
        <v>42039</v>
      </c>
      <c r="C47" s="7" t="s">
        <v>3</v>
      </c>
      <c r="D47" s="7" t="s">
        <v>11</v>
      </c>
      <c r="E47" s="426"/>
    </row>
    <row r="48" spans="2:5" ht="14" thickBot="1">
      <c r="B48" s="5">
        <f t="shared" si="0"/>
        <v>42040</v>
      </c>
      <c r="C48" s="6" t="s">
        <v>4</v>
      </c>
      <c r="D48" s="6" t="s">
        <v>21</v>
      </c>
      <c r="E48" s="426"/>
    </row>
    <row r="49" spans="2:5" ht="14" thickBot="1">
      <c r="B49" s="5">
        <f t="shared" si="0"/>
        <v>42041</v>
      </c>
      <c r="C49" s="6" t="s">
        <v>5</v>
      </c>
      <c r="D49" s="6" t="s">
        <v>9</v>
      </c>
      <c r="E49" s="426"/>
    </row>
    <row r="50" spans="2:5" ht="14" thickBot="1">
      <c r="B50" s="5">
        <f t="shared" si="0"/>
        <v>42042</v>
      </c>
      <c r="C50" s="6" t="s">
        <v>6</v>
      </c>
      <c r="D50" s="6" t="s">
        <v>13</v>
      </c>
      <c r="E50" s="426"/>
    </row>
    <row r="51" spans="2:5" ht="14" thickBot="1">
      <c r="B51" s="5">
        <f t="shared" si="0"/>
        <v>42043</v>
      </c>
      <c r="C51" s="7" t="s">
        <v>7</v>
      </c>
      <c r="D51" s="7" t="s">
        <v>14</v>
      </c>
      <c r="E51" s="426"/>
    </row>
    <row r="52" spans="2:5" ht="14" thickBot="1">
      <c r="B52" s="5">
        <f t="shared" si="0"/>
        <v>42044</v>
      </c>
      <c r="C52" s="6" t="s">
        <v>1</v>
      </c>
      <c r="D52" s="6" t="s">
        <v>9</v>
      </c>
      <c r="E52" s="426" t="s">
        <v>35</v>
      </c>
    </row>
    <row r="53" spans="2:5" ht="14" thickBot="1">
      <c r="B53" s="5">
        <f t="shared" si="0"/>
        <v>42045</v>
      </c>
      <c r="C53" s="6" t="s">
        <v>2</v>
      </c>
      <c r="D53" s="6" t="s">
        <v>28</v>
      </c>
      <c r="E53" s="426"/>
    </row>
    <row r="54" spans="2:5" ht="14" thickBot="1">
      <c r="B54" s="5">
        <f t="shared" si="0"/>
        <v>42046</v>
      </c>
      <c r="C54" s="7" t="s">
        <v>3</v>
      </c>
      <c r="D54" s="7" t="s">
        <v>11</v>
      </c>
      <c r="E54" s="426"/>
    </row>
    <row r="55" spans="2:5" ht="14" thickBot="1">
      <c r="B55" s="5">
        <f t="shared" si="0"/>
        <v>42047</v>
      </c>
      <c r="C55" s="6" t="s">
        <v>4</v>
      </c>
      <c r="D55" s="6" t="s">
        <v>13</v>
      </c>
      <c r="E55" s="426"/>
    </row>
    <row r="56" spans="2:5" ht="14" thickBot="1">
      <c r="B56" s="5">
        <f t="shared" si="0"/>
        <v>42048</v>
      </c>
      <c r="C56" s="6" t="s">
        <v>5</v>
      </c>
      <c r="D56" s="6" t="s">
        <v>9</v>
      </c>
      <c r="E56" s="426"/>
    </row>
    <row r="57" spans="2:5" ht="14" thickBot="1">
      <c r="B57" s="5">
        <f t="shared" si="0"/>
        <v>42049</v>
      </c>
      <c r="C57" s="6" t="s">
        <v>6</v>
      </c>
      <c r="D57" s="6" t="s">
        <v>29</v>
      </c>
      <c r="E57" s="426"/>
    </row>
    <row r="58" spans="2:5" ht="14" thickBot="1">
      <c r="B58" s="5">
        <f t="shared" si="0"/>
        <v>42050</v>
      </c>
      <c r="C58" s="7" t="s">
        <v>7</v>
      </c>
      <c r="D58" s="7" t="s">
        <v>17</v>
      </c>
      <c r="E58" s="426"/>
    </row>
    <row r="59" spans="2:5" ht="14" thickBot="1">
      <c r="B59" s="5">
        <f t="shared" si="0"/>
        <v>42051</v>
      </c>
      <c r="C59" s="6" t="s">
        <v>1</v>
      </c>
      <c r="D59" s="6" t="s">
        <v>9</v>
      </c>
      <c r="E59" s="426" t="s">
        <v>36</v>
      </c>
    </row>
    <row r="60" spans="2:5" ht="14" thickBot="1">
      <c r="B60" s="5">
        <f t="shared" si="0"/>
        <v>42052</v>
      </c>
      <c r="C60" s="7" t="s">
        <v>2</v>
      </c>
      <c r="D60" s="7" t="s">
        <v>11</v>
      </c>
      <c r="E60" s="426"/>
    </row>
    <row r="61" spans="2:5" ht="14" thickBot="1">
      <c r="B61" s="5">
        <f t="shared" si="0"/>
        <v>42053</v>
      </c>
      <c r="C61" s="6" t="s">
        <v>3</v>
      </c>
      <c r="D61" s="6" t="s">
        <v>30</v>
      </c>
      <c r="E61" s="426"/>
    </row>
    <row r="62" spans="2:5" ht="14" thickBot="1">
      <c r="B62" s="5">
        <f t="shared" si="0"/>
        <v>42054</v>
      </c>
      <c r="C62" s="6" t="s">
        <v>4</v>
      </c>
      <c r="D62" s="6" t="s">
        <v>11</v>
      </c>
      <c r="E62" s="426"/>
    </row>
    <row r="63" spans="2:5" ht="14" thickBot="1">
      <c r="B63" s="5">
        <f t="shared" si="0"/>
        <v>42055</v>
      </c>
      <c r="C63" s="6" t="s">
        <v>5</v>
      </c>
      <c r="D63" s="6" t="s">
        <v>9</v>
      </c>
      <c r="E63" s="426"/>
    </row>
    <row r="64" spans="2:5" ht="14" thickBot="1">
      <c r="B64" s="5">
        <f t="shared" si="0"/>
        <v>42056</v>
      </c>
      <c r="C64" s="6" t="s">
        <v>6</v>
      </c>
      <c r="D64" s="6" t="s">
        <v>13</v>
      </c>
      <c r="E64" s="426"/>
    </row>
    <row r="65" spans="1:5" ht="14" thickBot="1">
      <c r="B65" s="5">
        <f t="shared" si="0"/>
        <v>42057</v>
      </c>
      <c r="C65" s="7" t="s">
        <v>7</v>
      </c>
      <c r="D65" s="7" t="s">
        <v>11</v>
      </c>
      <c r="E65" s="426"/>
    </row>
    <row r="66" spans="1:5" ht="14" thickBot="1">
      <c r="B66" s="5">
        <f t="shared" si="0"/>
        <v>42058</v>
      </c>
      <c r="C66" s="6" t="s">
        <v>1</v>
      </c>
      <c r="D66" s="6" t="s">
        <v>9</v>
      </c>
      <c r="E66" s="426" t="s">
        <v>37</v>
      </c>
    </row>
    <row r="67" spans="1:5" ht="14" thickBot="1">
      <c r="B67" s="5">
        <f t="shared" si="0"/>
        <v>42059</v>
      </c>
      <c r="C67" s="6" t="s">
        <v>2</v>
      </c>
      <c r="D67" s="6" t="s">
        <v>31</v>
      </c>
      <c r="E67" s="426"/>
    </row>
    <row r="68" spans="1:5" ht="14" thickBot="1">
      <c r="B68" s="5">
        <f t="shared" si="0"/>
        <v>42060</v>
      </c>
      <c r="C68" s="6" t="s">
        <v>3</v>
      </c>
      <c r="D68" s="6" t="s">
        <v>11</v>
      </c>
      <c r="E68" s="426"/>
    </row>
    <row r="69" spans="1:5" ht="14" thickBot="1">
      <c r="B69" s="5">
        <f t="shared" si="0"/>
        <v>42061</v>
      </c>
      <c r="C69" s="6" t="s">
        <v>4</v>
      </c>
      <c r="D69" s="9" t="s">
        <v>32</v>
      </c>
      <c r="E69" s="426"/>
    </row>
    <row r="70" spans="1:5" ht="14" thickBot="1">
      <c r="B70" s="5">
        <f t="shared" si="0"/>
        <v>42062</v>
      </c>
      <c r="C70" s="6" t="s">
        <v>5</v>
      </c>
      <c r="D70" s="6" t="s">
        <v>9</v>
      </c>
      <c r="E70" s="426"/>
    </row>
    <row r="71" spans="1:5" ht="14" thickBot="1">
      <c r="B71" s="5">
        <f>B72-1</f>
        <v>42063</v>
      </c>
      <c r="C71" s="8" t="s">
        <v>6</v>
      </c>
      <c r="D71" s="10" t="s">
        <v>33</v>
      </c>
      <c r="E71" s="426"/>
    </row>
    <row r="72" spans="1:5" ht="14" thickBot="1">
      <c r="A72" s="2"/>
      <c r="B72" s="5">
        <v>42064</v>
      </c>
      <c r="C72" s="7" t="s">
        <v>7</v>
      </c>
      <c r="D72" s="1" t="s">
        <v>640</v>
      </c>
      <c r="E72" s="426"/>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411" t="s">
        <v>75</v>
      </c>
      <c r="C2" s="412"/>
      <c r="D2" s="412"/>
      <c r="E2" s="412"/>
      <c r="F2" s="412"/>
      <c r="G2" s="412"/>
      <c r="H2" s="412"/>
      <c r="I2" s="412"/>
      <c r="J2" s="412"/>
      <c r="K2" s="412"/>
      <c r="L2" s="412"/>
      <c r="M2" s="412"/>
      <c r="N2" s="413"/>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103</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104</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105</v>
      </c>
      <c r="C10" s="24"/>
      <c r="D10" s="24"/>
      <c r="E10" s="25" t="s">
        <v>109</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106</v>
      </c>
      <c r="C12" s="25" t="s">
        <v>114</v>
      </c>
      <c r="D12" s="25" t="s">
        <v>114</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topLeftCell="A2" workbookViewId="0">
      <selection activeCell="I30" sqref="I30"/>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411" t="s">
        <v>375</v>
      </c>
      <c r="C2" s="412"/>
      <c r="D2" s="412"/>
      <c r="E2" s="412"/>
      <c r="F2" s="412"/>
      <c r="G2" s="412"/>
      <c r="H2" s="412"/>
      <c r="I2" s="412"/>
      <c r="J2" s="412"/>
      <c r="K2" s="412"/>
      <c r="L2" s="413"/>
    </row>
    <row r="3" spans="2:14" ht="13" thickBot="1"/>
    <row r="4" spans="2:14" ht="13" thickBot="1">
      <c r="B4" s="414" t="s">
        <v>376</v>
      </c>
      <c r="C4" s="415"/>
      <c r="D4" s="415"/>
      <c r="E4" s="415"/>
      <c r="F4" s="415"/>
      <c r="G4" s="416"/>
      <c r="I4" s="414" t="s">
        <v>447</v>
      </c>
      <c r="J4" s="415"/>
      <c r="K4" s="415"/>
      <c r="L4" s="416"/>
    </row>
    <row r="5" spans="2:14" ht="13" thickBot="1">
      <c r="I5" s="3"/>
    </row>
    <row r="6" spans="2:14" ht="27" thickBot="1">
      <c r="B6" s="20" t="s">
        <v>377</v>
      </c>
      <c r="C6" s="199" t="s">
        <v>378</v>
      </c>
      <c r="D6" s="199" t="s">
        <v>382</v>
      </c>
      <c r="E6" s="199" t="s">
        <v>384</v>
      </c>
      <c r="F6" s="199" t="s">
        <v>472</v>
      </c>
      <c r="G6" s="199" t="s">
        <v>617</v>
      </c>
      <c r="I6" s="20" t="s">
        <v>448</v>
      </c>
      <c r="J6" s="199" t="s">
        <v>452</v>
      </c>
      <c r="K6" s="210" t="s">
        <v>453</v>
      </c>
      <c r="L6" s="210" t="s">
        <v>451</v>
      </c>
    </row>
    <row r="7" spans="2:14" ht="14" thickBot="1">
      <c r="B7" s="386" t="s">
        <v>381</v>
      </c>
      <c r="C7" s="387">
        <v>42020</v>
      </c>
      <c r="D7" s="388">
        <v>42026</v>
      </c>
      <c r="E7" s="389" t="str">
        <f>CONCATENATE(TEXT(SUMIF('SORTIES 2015'!$K$6:$K$370,$B7,'SORTIES 2015'!$E$6:$E$370)+(SUMIF('SORTIES 2016'!$L$6:$L$370,B7,'SORTIES 2016'!$K$6:$K$370)),"000"),"/750")</f>
        <v>161/750</v>
      </c>
      <c r="F7" s="388">
        <v>42005</v>
      </c>
      <c r="G7" s="390"/>
      <c r="I7" s="17" t="s">
        <v>450</v>
      </c>
      <c r="J7" s="211">
        <v>3</v>
      </c>
      <c r="K7" s="124">
        <v>0.5</v>
      </c>
      <c r="L7" s="124">
        <f>J7*K7</f>
        <v>1.5</v>
      </c>
      <c r="N7">
        <f>SUMIF('SORTIES 2016'!$L$6:$L$370,B10,'SORTIES 2015'!$E$6:$K$370)</f>
        <v>0</v>
      </c>
    </row>
    <row r="8" spans="2:14" ht="14" thickBot="1">
      <c r="B8" s="17" t="s">
        <v>380</v>
      </c>
      <c r="C8" s="251">
        <v>42005</v>
      </c>
      <c r="D8" s="29">
        <v>42011</v>
      </c>
      <c r="E8" s="28" t="str">
        <f>CONCATENATE(TEXT(SUMIF('SORTIES 2015'!$K$6:$K$370,$B8,'SORTIES 2015'!$E$6:$E$370)+(SUMIF('SORTIES 2016'!$L$6:$L$370,B8,'SORTIES 2016'!$K$6:$K$370)),"000"),"/750")</f>
        <v>156/750</v>
      </c>
      <c r="F8" s="28"/>
      <c r="G8" s="27" t="s">
        <v>623</v>
      </c>
      <c r="I8" s="17" t="s">
        <v>449</v>
      </c>
      <c r="J8" s="211">
        <v>3</v>
      </c>
      <c r="K8" s="124">
        <v>0.75</v>
      </c>
      <c r="L8" s="124">
        <f t="shared" ref="L8:L11" si="0">J8*K8</f>
        <v>2.25</v>
      </c>
      <c r="N8">
        <f>SUMIF('SORTIES 2016'!$L$6:$L$370,B11,'SORTIES 2015'!$E$6:$K$370)</f>
        <v>0</v>
      </c>
    </row>
    <row r="9" spans="2:14" ht="14" thickBot="1">
      <c r="B9" s="17" t="s">
        <v>379</v>
      </c>
      <c r="C9" s="251">
        <v>42013</v>
      </c>
      <c r="D9" s="29">
        <v>42020</v>
      </c>
      <c r="E9" s="28" t="str">
        <f>CONCATENATE(TEXT(SUMIF('SORTIES 2015'!$K$6:$K$370,$B9,'SORTIES 2015'!$E$6:$E$370)+(SUMIF('SORTIES 2016'!$L$6:$L$370,B9,'SORTIES 2016'!$K$6:$K$370)),"000"),"/750")</f>
        <v>241/750</v>
      </c>
      <c r="F9" s="28"/>
      <c r="G9" s="27" t="s">
        <v>618</v>
      </c>
      <c r="I9" s="17" t="s">
        <v>449</v>
      </c>
      <c r="J9" s="211">
        <v>5</v>
      </c>
      <c r="K9" s="124">
        <v>0.75</v>
      </c>
      <c r="L9" s="124">
        <f t="shared" ref="L9" si="1">J9*K9</f>
        <v>3.75</v>
      </c>
      <c r="N9">
        <f>SUMIF('SORTIES 2016'!$L$6:$L$370,B12,'SORTIES 2015'!$E$6:$K$370)</f>
        <v>0</v>
      </c>
    </row>
    <row r="10" spans="2:14" ht="14" thickBot="1">
      <c r="B10" s="386" t="s">
        <v>616</v>
      </c>
      <c r="C10" s="387">
        <v>42013</v>
      </c>
      <c r="D10" s="388">
        <v>42013</v>
      </c>
      <c r="E10" s="389" t="str">
        <f>CONCATENATE(TEXT(SUMIF('SORTIES 2015'!$K$6:$K$370,$B10,'SORTIES 2015'!$E$6:$E$370)+(SUMIF('SORTIES 2016'!$L$6:$L$370,B10,'SORTIES 2016'!$K$6:$K$370)),"000"),"/750")</f>
        <v>000/750</v>
      </c>
      <c r="F10" s="389"/>
      <c r="G10" s="396" t="s">
        <v>1525</v>
      </c>
      <c r="I10" s="17" t="s">
        <v>450</v>
      </c>
      <c r="J10" s="211">
        <v>2</v>
      </c>
      <c r="K10" s="124">
        <v>0.5</v>
      </c>
      <c r="L10" s="124">
        <f t="shared" si="0"/>
        <v>1</v>
      </c>
      <c r="N10">
        <f>SUMIF('SORTIES 2016'!$L$6:$L$370,B13,'SORTIES 2015'!$E$6:$K$370)</f>
        <v>0</v>
      </c>
    </row>
    <row r="11" spans="2:14" ht="14" thickBot="1">
      <c r="B11" s="386" t="s">
        <v>476</v>
      </c>
      <c r="C11" s="391">
        <v>42164</v>
      </c>
      <c r="D11" s="392">
        <v>42166</v>
      </c>
      <c r="E11" s="393" t="str">
        <f>CONCATENATE(TEXT(SUMIF('SORTIES 2015'!$K$6:$K$370,$B11,'SORTIES 2015'!$E$6:$E$370)+(SUMIF('SORTIES 2016'!$L$6:$L$370,B11,'SORTIES 2016'!$K$6:$K$370)),"000"),"/750")</f>
        <v>370/750</v>
      </c>
      <c r="F11" s="392">
        <v>42244</v>
      </c>
      <c r="G11" s="394" t="s">
        <v>622</v>
      </c>
      <c r="I11" s="17" t="s">
        <v>449</v>
      </c>
      <c r="J11" s="211">
        <v>2</v>
      </c>
      <c r="K11" s="124">
        <v>0.75</v>
      </c>
      <c r="L11" s="124">
        <f t="shared" si="0"/>
        <v>1.5</v>
      </c>
      <c r="N11">
        <f>SUMIF('SORTIES 2016'!$L$6:$L$370,B11,'SORTIES 2016'!$K$6:$K$370)</f>
        <v>0</v>
      </c>
    </row>
    <row r="12" spans="2:14" ht="14" thickBot="1">
      <c r="B12" s="386" t="s">
        <v>559</v>
      </c>
      <c r="C12" s="387">
        <v>42265</v>
      </c>
      <c r="D12" s="388"/>
      <c r="E12" s="389" t="str">
        <f>CONCATENATE(TEXT(SUMIF('SORTIES 2015'!$K$6:$K$370,$B12,'SORTIES 2015'!$E$6:$E$370)+(SUMIF('SORTIES 2016'!$L$6:$L$370,B12,'SORTIES 2016'!$K$6:$K$370)),"000"),"/750")</f>
        <v>000/750</v>
      </c>
      <c r="F12" s="388"/>
      <c r="G12" s="394" t="s">
        <v>621</v>
      </c>
      <c r="I12" s="232"/>
      <c r="J12" s="233"/>
      <c r="K12" s="234"/>
      <c r="L12" s="234"/>
      <c r="N12">
        <f>SUMIF('SORTIES 2016'!$L$6:$L$370,B12,'SORTIES 2016'!$K$6:$K$370)</f>
        <v>0</v>
      </c>
    </row>
    <row r="13" spans="2:14" ht="14" thickBot="1">
      <c r="B13" s="17" t="s">
        <v>477</v>
      </c>
      <c r="C13" s="251">
        <v>42164</v>
      </c>
      <c r="D13" s="29">
        <v>42231</v>
      </c>
      <c r="E13" s="28" t="str">
        <f>CONCATENATE(TEXT(SUMIF('SORTIES 2015'!$K$6:$K$370,$B13,'SORTIES 2015'!$E$6:$E$370)+(SUMIF('SORTIES 2016'!$L$6:$L$370,B13,'SORTIES 2016'!$K$6:$K$370)),"000"),"/750")</f>
        <v>427/750</v>
      </c>
      <c r="F13" s="28"/>
      <c r="G13" s="27" t="s">
        <v>625</v>
      </c>
      <c r="N13">
        <f>SUMIF('SORTIES 2016'!$L$6:$L$370,B13,'SORTIES 2016'!$K$6:$K$370)</f>
        <v>7</v>
      </c>
    </row>
    <row r="14" spans="2:14" ht="14" thickBot="1">
      <c r="B14" s="17" t="s">
        <v>575</v>
      </c>
      <c r="C14" s="251">
        <v>42287</v>
      </c>
      <c r="D14" s="29">
        <v>42289</v>
      </c>
      <c r="E14" s="28" t="str">
        <f>CONCATENATE(TEXT(SUMIF('SORTIES 2015'!$K$6:$K$370,$B14,'SORTIES 2015'!$E$6:$E$370)+(SUMIF('SORTIES 2016'!$L$6:$L$370,B14,'SORTIES 2016'!$K$6:$K$370)),"000"),"/750")</f>
        <v>569/750</v>
      </c>
      <c r="F14" s="28"/>
      <c r="G14" s="27" t="s">
        <v>624</v>
      </c>
      <c r="I14" s="18" t="s">
        <v>454</v>
      </c>
      <c r="N14">
        <f>SUMIF('SORTIES 2016'!$L$6:$L$370,B14,'SORTIES 2016'!$K$6:$K$370)</f>
        <v>344.2</v>
      </c>
    </row>
    <row r="15" spans="2:14" ht="14" thickBot="1">
      <c r="B15" s="17" t="s">
        <v>620</v>
      </c>
      <c r="C15" s="251">
        <v>42317</v>
      </c>
      <c r="D15" s="29"/>
      <c r="E15" s="28" t="str">
        <f>CONCATENATE(TEXT(SUMIF('SORTIES 2015'!$K$6:$K$370,$B15,'SORTIES 2015'!$E$6:$E$370)+(SUMIF('SORTIES 2016'!$L$6:$L$370,B15,'SORTIES 2016'!$K$6:$K$370)),"000"),"/750")</f>
        <v>208/750</v>
      </c>
      <c r="F15" s="28"/>
      <c r="G15" s="27" t="s">
        <v>619</v>
      </c>
      <c r="N15">
        <f>SUMIF('SORTIES 2016'!$L$6:$L$370,B15,'SORTIES 2016'!$K$6:$K$370)</f>
        <v>207.5</v>
      </c>
    </row>
    <row r="16" spans="2:14" ht="14" thickBot="1">
      <c r="B16" s="17" t="s">
        <v>631</v>
      </c>
      <c r="C16" s="251">
        <v>42340</v>
      </c>
      <c r="D16" s="29">
        <v>42341</v>
      </c>
      <c r="E16" s="28" t="str">
        <f>CONCATENATE(TEXT(SUMIF('SORTIES 2015'!$K$6:$K$370,$B16,'SORTIES 2015'!$E$6:$E$370)+(SUMIF('SORTIES 2016'!$L$6:$L$370,B16,'SORTIES 2016'!$K$6:$K$370)),"000"),"/750")</f>
        <v>158/750</v>
      </c>
      <c r="F16" s="28"/>
      <c r="G16" s="27" t="s">
        <v>630</v>
      </c>
      <c r="N16">
        <f>SUMIF('SORTIES 2016'!$L$6:$L$370,B16,'SORTIES 2016'!$K$6:$K$370)</f>
        <v>51</v>
      </c>
    </row>
    <row r="17" spans="2:14" ht="14" thickBot="1">
      <c r="B17" s="395" t="s">
        <v>426</v>
      </c>
      <c r="C17" s="387">
        <v>42076</v>
      </c>
      <c r="D17" s="388">
        <v>42079</v>
      </c>
      <c r="E17" s="389" t="str">
        <f>CONCATENATE(TEXT(SUMIF('SORTIES 2015'!$K$6:$K$370,$B17,'SORTIES 2015'!$E$6:$E$370)+(SUMIF('SORTIES 2016'!$L$6:$L$370,B17,'SORTIES 2016'!$K$6:$K$370)),"000"),"/750")</f>
        <v>446/750</v>
      </c>
      <c r="F17" s="388">
        <v>42161</v>
      </c>
      <c r="G17" s="390"/>
      <c r="N17">
        <f>SUMIF('SORTIES 2016'!$L$6:$L$370,B17,'SORTIES 2016'!$K$6:$K$370)</f>
        <v>0</v>
      </c>
    </row>
    <row r="18" spans="2:14" ht="13" thickBot="1"/>
    <row r="19" spans="2:14" ht="13" thickBot="1">
      <c r="B19" s="414" t="s">
        <v>487</v>
      </c>
      <c r="C19" s="415"/>
      <c r="D19" s="415"/>
      <c r="E19" s="415"/>
      <c r="F19" s="415"/>
      <c r="G19" s="416"/>
    </row>
    <row r="20" spans="2:14" ht="13" thickBot="1"/>
    <row r="21" spans="2:14" ht="14" thickBot="1">
      <c r="B21" s="20" t="s">
        <v>377</v>
      </c>
      <c r="C21" s="199" t="s">
        <v>378</v>
      </c>
      <c r="D21" s="199" t="s">
        <v>382</v>
      </c>
      <c r="E21" s="199" t="s">
        <v>384</v>
      </c>
      <c r="F21" s="199" t="s">
        <v>472</v>
      </c>
      <c r="G21" s="248"/>
    </row>
    <row r="22" spans="2:14" ht="14" thickBot="1">
      <c r="B22" s="17" t="s">
        <v>488</v>
      </c>
      <c r="C22" s="200"/>
      <c r="D22" s="29"/>
      <c r="E22" s="28">
        <f>SUMIF('SORTIES 2015'!$O$6:$O$370,$B22,'SORTIES 2015'!$G$6:$G$370)+SUMIF('SORTIES 2016'!$Q$6:$Q$370,$B22,'SORTIES 2016'!$P$6:$P$370)</f>
        <v>2742.5</v>
      </c>
      <c r="F22" s="28"/>
      <c r="G22" s="248"/>
    </row>
    <row r="23" spans="2:14" ht="14" thickBot="1">
      <c r="B23" s="17" t="s">
        <v>486</v>
      </c>
      <c r="C23" s="200"/>
      <c r="D23" s="29"/>
      <c r="E23" s="28">
        <f>SUMIF('SORTIES 2015'!$O$6:$O$370,$B23,'SORTIES 2015'!$G$6:$G$370)+SUMIF('SORTIES 2016'!$Q$6:$Q$370,$B23,'SORTIES 2016'!$P$6:$P$370)</f>
        <v>60</v>
      </c>
      <c r="F23" s="28"/>
      <c r="G23" s="248"/>
    </row>
    <row r="24" spans="2:14" ht="14" thickBot="1">
      <c r="B24" s="232"/>
      <c r="C24" s="246"/>
      <c r="D24" s="247"/>
      <c r="E24" s="248"/>
      <c r="F24" s="248"/>
      <c r="G24" s="248"/>
    </row>
    <row r="25" spans="2:14" ht="14" thickBot="1">
      <c r="B25" s="20" t="s">
        <v>377</v>
      </c>
      <c r="C25" s="199" t="s">
        <v>378</v>
      </c>
      <c r="D25" s="199" t="s">
        <v>382</v>
      </c>
      <c r="E25" s="199" t="s">
        <v>384</v>
      </c>
      <c r="F25" s="199" t="s">
        <v>472</v>
      </c>
      <c r="G25" s="248"/>
    </row>
    <row r="26" spans="2:14" ht="14" thickBot="1">
      <c r="B26" s="17" t="s">
        <v>604</v>
      </c>
      <c r="C26" s="200" t="s">
        <v>605</v>
      </c>
      <c r="D26" s="249" t="s">
        <v>606</v>
      </c>
      <c r="E26" s="4" t="s">
        <v>607</v>
      </c>
      <c r="F26" s="4" t="s">
        <v>608</v>
      </c>
      <c r="G26" s="250"/>
    </row>
    <row r="27" spans="2:14">
      <c r="B27"/>
    </row>
    <row r="28" spans="2:14">
      <c r="B28"/>
    </row>
    <row r="29" spans="2:14">
      <c r="B29" s="18" t="s">
        <v>603</v>
      </c>
    </row>
    <row r="30" spans="2:14">
      <c r="B30" s="2">
        <v>42240</v>
      </c>
      <c r="D30" s="18" t="s">
        <v>527</v>
      </c>
    </row>
    <row r="31" spans="2:14">
      <c r="B31"/>
    </row>
    <row r="32" spans="2:14">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411" t="s">
        <v>122</v>
      </c>
      <c r="C2" s="412"/>
      <c r="D2" s="412"/>
      <c r="E2" s="412"/>
      <c r="F2" s="412"/>
      <c r="G2" s="412"/>
      <c r="H2" s="412"/>
      <c r="I2" s="412"/>
      <c r="J2" s="412"/>
      <c r="K2" s="412"/>
    </row>
    <row r="4" spans="2:11" ht="13" thickBot="1"/>
    <row r="5" spans="2:11" ht="13" thickBot="1">
      <c r="B5" s="32" t="s">
        <v>123</v>
      </c>
      <c r="C5" s="33"/>
      <c r="D5" s="414" t="s">
        <v>133</v>
      </c>
      <c r="E5" s="415"/>
      <c r="F5" s="416"/>
      <c r="G5" s="20"/>
      <c r="H5" s="20"/>
      <c r="I5" s="20"/>
      <c r="J5" s="414" t="s">
        <v>126</v>
      </c>
      <c r="K5" s="416"/>
    </row>
    <row r="6" spans="2:11" ht="13" thickBot="1">
      <c r="B6" s="20" t="s">
        <v>123</v>
      </c>
      <c r="C6" s="20" t="s">
        <v>103</v>
      </c>
      <c r="D6" s="20" t="s">
        <v>124</v>
      </c>
      <c r="E6" s="20" t="s">
        <v>125</v>
      </c>
      <c r="F6" s="20" t="s">
        <v>129</v>
      </c>
      <c r="G6" s="20" t="s">
        <v>127</v>
      </c>
      <c r="H6" s="20" t="s">
        <v>128</v>
      </c>
      <c r="I6" s="20" t="s">
        <v>132</v>
      </c>
      <c r="J6" s="20" t="s">
        <v>130</v>
      </c>
      <c r="K6" s="20" t="s">
        <v>131</v>
      </c>
    </row>
    <row r="7" spans="2:11" ht="13" thickBot="1">
      <c r="B7" s="30">
        <v>42014</v>
      </c>
      <c r="C7" s="30" t="str">
        <f>TEXT(B7,"mmmm")</f>
        <v>janvier</v>
      </c>
      <c r="D7" s="27" t="s">
        <v>134</v>
      </c>
      <c r="E7" s="28" t="s">
        <v>91</v>
      </c>
      <c r="F7" s="4" t="s">
        <v>135</v>
      </c>
      <c r="G7" s="4" t="s">
        <v>136</v>
      </c>
      <c r="H7" s="28"/>
      <c r="I7" s="28" t="s">
        <v>139</v>
      </c>
      <c r="J7" s="28"/>
      <c r="K7" s="28" t="s">
        <v>138</v>
      </c>
    </row>
    <row r="8" spans="2:11" ht="13" thickBot="1">
      <c r="B8" s="30">
        <v>42021</v>
      </c>
      <c r="C8" s="30" t="str">
        <f t="shared" ref="C8:C25" si="0">TEXT(B8,"mmmm")</f>
        <v>janvier</v>
      </c>
      <c r="D8" s="27" t="s">
        <v>140</v>
      </c>
      <c r="E8" s="28" t="s">
        <v>91</v>
      </c>
      <c r="F8" s="4" t="s">
        <v>143</v>
      </c>
      <c r="G8" s="4" t="s">
        <v>145</v>
      </c>
      <c r="H8" s="28"/>
      <c r="I8" s="28" t="s">
        <v>139</v>
      </c>
      <c r="J8" s="28"/>
      <c r="K8" s="28" t="s">
        <v>138</v>
      </c>
    </row>
    <row r="9" spans="2:11" ht="13" thickBot="1">
      <c r="B9" s="30">
        <v>42042</v>
      </c>
      <c r="C9" s="30" t="str">
        <f t="shared" si="0"/>
        <v>février</v>
      </c>
      <c r="D9" s="27" t="s">
        <v>141</v>
      </c>
      <c r="E9" s="28" t="s">
        <v>91</v>
      </c>
      <c r="F9" s="4" t="s">
        <v>95</v>
      </c>
      <c r="G9" s="4" t="s">
        <v>145</v>
      </c>
      <c r="H9" s="28"/>
      <c r="I9" s="28" t="s">
        <v>139</v>
      </c>
      <c r="J9" s="28"/>
      <c r="K9" s="28" t="s">
        <v>138</v>
      </c>
    </row>
    <row r="10" spans="2:11" ht="13" thickBot="1">
      <c r="B10" s="30">
        <v>42057</v>
      </c>
      <c r="C10" s="30" t="str">
        <f t="shared" si="0"/>
        <v>février</v>
      </c>
      <c r="D10" s="27" t="s">
        <v>146</v>
      </c>
      <c r="E10" s="28" t="s">
        <v>91</v>
      </c>
      <c r="F10" s="4" t="s">
        <v>147</v>
      </c>
      <c r="G10" s="4" t="s">
        <v>145</v>
      </c>
      <c r="H10" s="28"/>
      <c r="I10" s="28"/>
      <c r="J10" s="28"/>
      <c r="K10" s="28"/>
    </row>
    <row r="11" spans="2:11" ht="13" thickBot="1">
      <c r="B11" s="30">
        <v>42064</v>
      </c>
      <c r="C11" s="30" t="str">
        <f t="shared" si="0"/>
        <v>mars</v>
      </c>
      <c r="D11" s="27" t="s">
        <v>142</v>
      </c>
      <c r="E11" s="28" t="s">
        <v>91</v>
      </c>
      <c r="F11" s="4" t="s">
        <v>144</v>
      </c>
      <c r="G11" s="4" t="s">
        <v>145</v>
      </c>
      <c r="H11" s="4"/>
      <c r="I11" s="4" t="s">
        <v>139</v>
      </c>
      <c r="J11" s="4"/>
      <c r="K11" s="28" t="s">
        <v>138</v>
      </c>
    </row>
    <row r="12" spans="2:11" ht="13" thickBot="1">
      <c r="B12" s="30">
        <v>42077</v>
      </c>
      <c r="C12" s="30" t="str">
        <f t="shared" si="0"/>
        <v>mars</v>
      </c>
      <c r="D12" s="27" t="s">
        <v>362</v>
      </c>
      <c r="E12" s="28" t="s">
        <v>89</v>
      </c>
      <c r="F12" s="4" t="s">
        <v>93</v>
      </c>
      <c r="G12" s="4" t="s">
        <v>145</v>
      </c>
      <c r="H12" s="4"/>
      <c r="I12" s="4" t="s">
        <v>139</v>
      </c>
      <c r="J12" s="4"/>
      <c r="K12" s="28"/>
    </row>
    <row r="13" spans="2:11" ht="13" thickBot="1">
      <c r="B13" s="30">
        <v>42085</v>
      </c>
      <c r="C13" s="30" t="str">
        <f t="shared" si="0"/>
        <v>mars</v>
      </c>
      <c r="D13" s="27" t="s">
        <v>148</v>
      </c>
      <c r="E13" s="28" t="s">
        <v>97</v>
      </c>
      <c r="F13" s="4" t="s">
        <v>149</v>
      </c>
      <c r="G13" s="4" t="s">
        <v>145</v>
      </c>
      <c r="H13" s="28"/>
      <c r="I13" s="28" t="s">
        <v>139</v>
      </c>
      <c r="J13" s="28"/>
      <c r="K13" s="28"/>
    </row>
    <row r="14" spans="2:11" ht="13" thickBot="1">
      <c r="B14" s="30">
        <v>42127</v>
      </c>
      <c r="C14" s="30" t="str">
        <f t="shared" si="0"/>
        <v>mai</v>
      </c>
      <c r="D14" s="27" t="s">
        <v>163</v>
      </c>
      <c r="E14" s="4" t="s">
        <v>90</v>
      </c>
      <c r="F14" s="4" t="s">
        <v>135</v>
      </c>
      <c r="G14" s="4" t="s">
        <v>145</v>
      </c>
      <c r="H14" s="28"/>
      <c r="I14" s="28" t="s">
        <v>139</v>
      </c>
      <c r="J14" s="28"/>
      <c r="K14" s="28"/>
    </row>
    <row r="15" spans="2:11" ht="13" thickBot="1">
      <c r="B15" s="30">
        <v>42140</v>
      </c>
      <c r="C15" s="30" t="str">
        <f t="shared" si="0"/>
        <v>mai</v>
      </c>
      <c r="D15" s="27" t="s">
        <v>161</v>
      </c>
      <c r="E15" s="4" t="s">
        <v>99</v>
      </c>
      <c r="F15" s="4" t="s">
        <v>135</v>
      </c>
      <c r="G15" s="4" t="s">
        <v>145</v>
      </c>
      <c r="H15" s="28"/>
      <c r="I15" s="28" t="s">
        <v>139</v>
      </c>
      <c r="J15" s="28"/>
      <c r="K15" s="28"/>
    </row>
    <row r="16" spans="2:11" ht="13" thickBot="1">
      <c r="B16" s="30">
        <v>42155</v>
      </c>
      <c r="C16" s="30" t="str">
        <f t="shared" si="0"/>
        <v>mai</v>
      </c>
      <c r="D16" s="27" t="s">
        <v>164</v>
      </c>
      <c r="E16" s="4" t="s">
        <v>90</v>
      </c>
      <c r="F16" s="4" t="s">
        <v>135</v>
      </c>
      <c r="G16" s="4" t="s">
        <v>145</v>
      </c>
      <c r="H16" s="28"/>
      <c r="I16" s="28" t="s">
        <v>139</v>
      </c>
      <c r="J16" s="28"/>
      <c r="K16" s="28"/>
    </row>
    <row r="17" spans="1:11" ht="13" thickBot="1">
      <c r="B17" s="30">
        <v>42183</v>
      </c>
      <c r="C17" s="30" t="str">
        <f t="shared" si="0"/>
        <v>juin</v>
      </c>
      <c r="D17" s="27" t="s">
        <v>160</v>
      </c>
      <c r="E17" s="4" t="s">
        <v>91</v>
      </c>
      <c r="F17" s="4" t="s">
        <v>93</v>
      </c>
      <c r="G17" s="4" t="s">
        <v>162</v>
      </c>
      <c r="H17" s="28"/>
      <c r="I17" s="28" t="s">
        <v>139</v>
      </c>
      <c r="J17" s="28"/>
      <c r="K17" s="28"/>
    </row>
    <row r="18" spans="1:11" ht="13" thickBot="1">
      <c r="B18" s="30"/>
      <c r="C18" s="30"/>
      <c r="D18" s="27"/>
      <c r="E18" s="4" t="s">
        <v>91</v>
      </c>
      <c r="F18" s="4" t="s">
        <v>135</v>
      </c>
      <c r="G18" s="4"/>
      <c r="H18" s="28"/>
      <c r="I18" s="28" t="s">
        <v>139</v>
      </c>
      <c r="J18" s="28"/>
      <c r="K18" s="28"/>
    </row>
    <row r="19" spans="1:11" ht="13" thickBot="1">
      <c r="B19" s="30">
        <v>42259</v>
      </c>
      <c r="C19" s="30" t="str">
        <f t="shared" si="0"/>
        <v>septembre</v>
      </c>
      <c r="D19" s="27" t="s">
        <v>159</v>
      </c>
      <c r="E19" s="4" t="s">
        <v>91</v>
      </c>
      <c r="F19" s="4" t="s">
        <v>149</v>
      </c>
      <c r="G19" s="4" t="s">
        <v>162</v>
      </c>
      <c r="H19" s="28"/>
      <c r="I19" s="28" t="s">
        <v>139</v>
      </c>
      <c r="J19" s="28"/>
      <c r="K19" s="28"/>
    </row>
    <row r="20" spans="1:11" ht="13" thickBot="1">
      <c r="B20" s="31">
        <v>42274</v>
      </c>
      <c r="C20" s="31" t="str">
        <f t="shared" si="0"/>
        <v>septembre</v>
      </c>
      <c r="D20" s="27" t="s">
        <v>150</v>
      </c>
      <c r="E20" s="28" t="s">
        <v>97</v>
      </c>
      <c r="F20" s="4" t="s">
        <v>153</v>
      </c>
      <c r="G20" s="4" t="s">
        <v>145</v>
      </c>
      <c r="H20" s="28"/>
      <c r="I20" s="28" t="s">
        <v>139</v>
      </c>
      <c r="J20" s="28"/>
      <c r="K20" s="28"/>
    </row>
    <row r="21" spans="1:11" ht="13" thickBot="1">
      <c r="A21" s="122"/>
      <c r="B21" s="31">
        <v>42294</v>
      </c>
      <c r="C21" s="31" t="str">
        <f t="shared" si="0"/>
        <v>octobre</v>
      </c>
      <c r="D21" s="27" t="s">
        <v>360</v>
      </c>
      <c r="E21" s="28" t="s">
        <v>97</v>
      </c>
      <c r="F21" s="4" t="s">
        <v>361</v>
      </c>
      <c r="G21" s="4"/>
      <c r="H21" s="28"/>
      <c r="I21" s="28"/>
      <c r="J21" s="28"/>
      <c r="K21" s="28"/>
    </row>
    <row r="22" spans="1:11" ht="13" thickBot="1">
      <c r="B22" s="31">
        <v>42309</v>
      </c>
      <c r="C22" s="31" t="str">
        <f t="shared" si="0"/>
        <v>novembre</v>
      </c>
      <c r="D22" s="27" t="s">
        <v>151</v>
      </c>
      <c r="E22" s="28" t="s">
        <v>91</v>
      </c>
      <c r="F22" s="4" t="s">
        <v>152</v>
      </c>
      <c r="G22" s="4" t="s">
        <v>145</v>
      </c>
      <c r="H22" s="28"/>
      <c r="I22" s="28" t="s">
        <v>139</v>
      </c>
      <c r="J22" s="28"/>
      <c r="K22" s="28"/>
    </row>
    <row r="23" spans="1:11" ht="13" thickBot="1">
      <c r="B23" s="31">
        <v>42316</v>
      </c>
      <c r="C23" s="31" t="str">
        <f t="shared" si="0"/>
        <v>novembre</v>
      </c>
      <c r="D23" s="27" t="s">
        <v>154</v>
      </c>
      <c r="E23" s="28" t="s">
        <v>91</v>
      </c>
      <c r="F23" s="4" t="s">
        <v>155</v>
      </c>
      <c r="G23" s="4" t="s">
        <v>145</v>
      </c>
      <c r="H23" s="28"/>
      <c r="I23" s="28" t="s">
        <v>139</v>
      </c>
      <c r="J23" s="28"/>
      <c r="K23" s="28"/>
    </row>
    <row r="24" spans="1:11" ht="13" thickBot="1">
      <c r="B24" s="31">
        <v>42329</v>
      </c>
      <c r="C24" s="31" t="str">
        <f t="shared" si="0"/>
        <v>novembre</v>
      </c>
      <c r="D24" s="27" t="s">
        <v>156</v>
      </c>
      <c r="E24" s="28" t="s">
        <v>91</v>
      </c>
      <c r="F24" s="4" t="s">
        <v>157</v>
      </c>
      <c r="G24" s="4" t="s">
        <v>145</v>
      </c>
      <c r="H24" s="28"/>
      <c r="I24" s="28" t="s">
        <v>139</v>
      </c>
      <c r="J24" s="28"/>
      <c r="K24" s="28"/>
    </row>
    <row r="25" spans="1:11" ht="13" thickBot="1">
      <c r="B25" s="31">
        <v>42350</v>
      </c>
      <c r="C25" s="31" t="str">
        <f t="shared" si="0"/>
        <v>décembre</v>
      </c>
      <c r="D25" s="27" t="s">
        <v>158</v>
      </c>
      <c r="E25" s="28" t="s">
        <v>91</v>
      </c>
      <c r="F25" s="4" t="s">
        <v>95</v>
      </c>
      <c r="G25" s="4" t="s">
        <v>145</v>
      </c>
      <c r="H25" s="28"/>
      <c r="I25" s="28" t="s">
        <v>139</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A118" workbookViewId="0">
      <selection activeCell="B5" sqref="B5:S335"/>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408" t="s">
        <v>363</v>
      </c>
      <c r="C2" s="409"/>
      <c r="D2" s="409"/>
      <c r="E2" s="409"/>
      <c r="F2" s="409"/>
      <c r="G2" s="409"/>
      <c r="H2" s="409"/>
      <c r="I2" s="409"/>
      <c r="J2" s="409"/>
      <c r="K2" s="409"/>
      <c r="L2" s="409"/>
      <c r="M2" s="409"/>
      <c r="N2" s="409"/>
      <c r="O2" s="409"/>
      <c r="P2" s="409"/>
      <c r="Q2" s="409"/>
      <c r="R2" s="409"/>
      <c r="S2" s="410"/>
      <c r="U2" s="417" t="s">
        <v>255</v>
      </c>
    </row>
    <row r="3" spans="2:22" ht="14" thickTop="1" thickBot="1">
      <c r="U3" s="417"/>
    </row>
    <row r="4" spans="2:22" ht="30" customHeight="1" thickTop="1" thickBot="1">
      <c r="B4" s="236"/>
      <c r="C4" s="219"/>
      <c r="D4" s="219"/>
      <c r="E4" s="219"/>
      <c r="F4" s="219"/>
      <c r="G4" s="222"/>
      <c r="H4" s="402" t="s">
        <v>483</v>
      </c>
      <c r="I4" s="403"/>
      <c r="J4" s="403"/>
      <c r="K4" s="404"/>
      <c r="L4" s="402" t="s">
        <v>484</v>
      </c>
      <c r="M4" s="403"/>
      <c r="N4" s="403"/>
      <c r="O4" s="404"/>
      <c r="P4" s="402" t="s">
        <v>495</v>
      </c>
      <c r="Q4" s="403"/>
      <c r="R4" s="403"/>
      <c r="S4" s="404"/>
      <c r="U4" s="417"/>
    </row>
    <row r="5" spans="2:22" ht="37" thickBot="1">
      <c r="B5" s="236" t="s">
        <v>239</v>
      </c>
      <c r="C5" s="191" t="s">
        <v>245</v>
      </c>
      <c r="D5" s="191" t="s">
        <v>251</v>
      </c>
      <c r="E5" s="20" t="s">
        <v>247</v>
      </c>
      <c r="F5" s="20" t="s">
        <v>364</v>
      </c>
      <c r="G5" s="223" t="s">
        <v>247</v>
      </c>
      <c r="H5" s="220" t="s">
        <v>252</v>
      </c>
      <c r="I5" s="220" t="s">
        <v>253</v>
      </c>
      <c r="J5" s="220" t="s">
        <v>254</v>
      </c>
      <c r="K5" s="220" t="s">
        <v>383</v>
      </c>
      <c r="L5" s="220" t="s">
        <v>252</v>
      </c>
      <c r="M5" s="220" t="s">
        <v>253</v>
      </c>
      <c r="N5" s="220" t="s">
        <v>254</v>
      </c>
      <c r="O5" s="220" t="s">
        <v>485</v>
      </c>
      <c r="P5" s="220" t="s">
        <v>496</v>
      </c>
      <c r="Q5" s="220" t="s">
        <v>252</v>
      </c>
      <c r="R5" s="220" t="s">
        <v>253</v>
      </c>
      <c r="S5" s="220" t="s">
        <v>254</v>
      </c>
      <c r="U5" s="417"/>
    </row>
    <row r="6" spans="2:22" ht="16" thickBot="1">
      <c r="B6" s="237">
        <v>42040</v>
      </c>
      <c r="C6" s="124">
        <f>WEEKNUM($B6)</f>
        <v>6</v>
      </c>
      <c r="D6" s="124">
        <f>MONTH(B6)</f>
        <v>2</v>
      </c>
      <c r="E6" s="28">
        <v>11</v>
      </c>
      <c r="F6" s="27" t="s">
        <v>365</v>
      </c>
      <c r="G6" s="124"/>
      <c r="H6" s="28" t="str">
        <f>CONCATENATE(SUMIF($C$6:$C6,$C6,$E$6:$E$370)," / ",SUMIF($C$6:$C$370,$C6,$E$6:$E$370))</f>
        <v>11 / 44</v>
      </c>
      <c r="I6" s="28" t="str">
        <f>CONCATENATE(SUMIF($D$6:$D6,$D6,$E$6:$E$370)," / ",SUMIF($D$6:$D$370,$D6,$E$6:$E$370))</f>
        <v>11 / 220</v>
      </c>
      <c r="J6" s="28" t="str">
        <f>CONCATENATE(SUM($E$6:$E6)," / ",SUM($E$6:$E$370))</f>
        <v>11 / 2214</v>
      </c>
      <c r="K6" s="24" t="s">
        <v>381</v>
      </c>
      <c r="L6" s="28" t="str">
        <f>CONCATENATE(SUMIF($C$6:$C6,$C6,$G$6:$G$370)," / ",SUMIF($C$6:$C$370,$C6,$G$6:$G$370))</f>
        <v>0 / 0</v>
      </c>
      <c r="M6" s="28" t="str">
        <f>CONCATENATE(SUMIF($D$6:$D6,$D6,$G$6:$G$370)," / ",SUMIF($D$6:$D$370,$D6,$G$6:$G$370))</f>
        <v>0 / 0</v>
      </c>
      <c r="N6" s="28" t="str">
        <f>CONCATENATE(SUM($G$6:$G6)," / ",SUM($G$6:$G$370))</f>
        <v>0 / 2316,5</v>
      </c>
      <c r="O6" s="24"/>
      <c r="P6" s="224">
        <v>0</v>
      </c>
      <c r="Q6" s="28" t="str">
        <f>CONCATENATE(SUMIF($C$6:$C6,C6,$P$6:$P$370)," / ",SUMIF($C$6:$C$370,C6,$P$6:$P$370))</f>
        <v>0 / 0</v>
      </c>
      <c r="R6" s="28" t="str">
        <f>CONCATENATE(SUMIF($D$6:$D6,$D6,$P$6:$P$370)," / ",SUMIF($D$6:$D$370,$D6,$P$6:$P$370))</f>
        <v>0 / 0</v>
      </c>
      <c r="S6" s="28" t="str">
        <f>CONCATENATE(SUM($P$6:$P6)," / ",SUM($P$6:$P$370))</f>
        <v>0 / 30850</v>
      </c>
      <c r="T6" s="418"/>
      <c r="U6" s="419"/>
      <c r="V6" s="420"/>
    </row>
    <row r="7" spans="2:22" ht="13" thickBot="1">
      <c r="B7" s="238">
        <f>B6+1</f>
        <v>42041</v>
      </c>
      <c r="C7" s="124">
        <f t="shared" ref="C7:C70" si="0">WEEKNUM($B7)</f>
        <v>6</v>
      </c>
      <c r="D7" s="124">
        <f t="shared" ref="D7:D69" si="1">MONTH(B7)</f>
        <v>2</v>
      </c>
      <c r="E7" s="28">
        <v>15</v>
      </c>
      <c r="F7" s="27" t="s">
        <v>367</v>
      </c>
      <c r="G7" s="124"/>
      <c r="H7" s="28" t="str">
        <f>CONCATENATE(SUMIF($C$6:$C7,C7,$E$6:$E$370)," / ",SUMIF($C$6:$C$370,C7,$E$6:$E$370))</f>
        <v>26 / 44</v>
      </c>
      <c r="I7" s="28" t="str">
        <f>CONCATENATE(SUMIF($D$6:$D7,D7,$E$6:$E$370)," / ",SUMIF($D$6:$D$370,D7,$E$6:$E$370))</f>
        <v>26 / 220</v>
      </c>
      <c r="J7" s="28" t="str">
        <f>CONCATENATE(SUM($E$6:$E7)," / ",SUM($E$6:$E$370))</f>
        <v>26 / 2214</v>
      </c>
      <c r="K7" s="24" t="s">
        <v>379</v>
      </c>
      <c r="L7" s="28" t="str">
        <f>CONCATENATE(SUMIF($C$6:$C7,C7,$G$6:$G$370)," / ",SUMIF($C$6:$C$370,C7,$G$6:$G$370))</f>
        <v>0 / 0</v>
      </c>
      <c r="M7" s="28" t="str">
        <f>CONCATENATE(SUMIF($D$6:$D7,D7,$G$6:$G$370)," / ",SUMIF($D$6:$D$370,D7,$G$6:$G$370))</f>
        <v>0 / 0</v>
      </c>
      <c r="N7" s="28" t="str">
        <f>CONCATENATE(SUM($G$6:$G7)," / ",SUM($G$6:$G$370))</f>
        <v>0 / 2316,5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366</v>
      </c>
      <c r="G8" s="193"/>
      <c r="H8" s="194" t="str">
        <f>CONCATENATE(SUMIF($C$6:$C8,C8,$E$6:$E$370)," / ",SUMIF($C$6:$C$370,C8,$E$6:$E$370))</f>
        <v>44 / 44</v>
      </c>
      <c r="I8" s="194" t="str">
        <f>CONCATENATE(SUMIF($D$6:$D8,D8,$E$6:$E$370)," / ",SUMIF($D$6:$D$370,D8,$E$6:$E$370))</f>
        <v>44 / 220</v>
      </c>
      <c r="J8" s="194" t="str">
        <f>CONCATENATE(SUM($E$6:$E8)," / ",SUM($E$6:$E$370))</f>
        <v>44 / 2214</v>
      </c>
      <c r="K8" s="196" t="s">
        <v>381</v>
      </c>
      <c r="L8" s="28" t="str">
        <f>CONCATENATE(SUMIF($C$6:$C8,C8,$G$6:$G$370)," / ",SUMIF($C$6:$C$370,C8,$G$6:$G$370))</f>
        <v>0 / 0</v>
      </c>
      <c r="M8" s="28" t="str">
        <f>CONCATENATE(SUMIF($D$6:$D8,D8,$G$6:$G$370)," / ",SUMIF($D$6:$D$370,D8,$G$6:$G$370))</f>
        <v>0 / 0</v>
      </c>
      <c r="N8" s="28" t="str">
        <f>CONCATENATE(SUM($G$6:$G8)," / ",SUM($G$6:$G$370))</f>
        <v>0 / 2316,5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372</v>
      </c>
      <c r="G9" s="124"/>
      <c r="H9" s="28" t="str">
        <f>CONCATENATE(SUMIF($C$6:$C9,C9,$E$6:$E$370)," / ",SUMIF($C$6:$C$370,C9,$E$6:$E$370))</f>
        <v>8 / 60</v>
      </c>
      <c r="I9" s="28" t="str">
        <f>CONCATENATE(SUMIF($D$6:$D9,D9,$E$6:$E$370)," / ",SUMIF($D$6:$D$370,D9,$E$6:$E$370))</f>
        <v>52 / 220</v>
      </c>
      <c r="J9" s="28" t="str">
        <f>CONCATENATE(SUM($E$6:$E9)," / ",SUM($E$6:$E$370))</f>
        <v>52 / 2214</v>
      </c>
      <c r="K9" s="24" t="s">
        <v>381</v>
      </c>
      <c r="L9" s="28" t="str">
        <f>CONCATENATE(SUMIF($C$6:$C9,C9,$G$6:$G$370)," / ",SUMIF($C$6:$C$370,C9,$G$6:$G$370))</f>
        <v>0 / 0</v>
      </c>
      <c r="M9" s="28" t="str">
        <f>CONCATENATE(SUMIF($D$6:$D9,D9,$G$6:$G$370)," / ",SUMIF($D$6:$D$370,D9,$G$6:$G$370))</f>
        <v>0 / 0</v>
      </c>
      <c r="N9" s="28" t="str">
        <f>CONCATENATE(SUM($G$6:$G9)," / ",SUM($G$6:$G$370))</f>
        <v>0 / 2316,5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374</v>
      </c>
      <c r="G10" s="124"/>
      <c r="H10" s="28" t="str">
        <f>CONCATENATE(SUMIF($C$6:$C10,C10,$E$6:$E$370)," / ",SUMIF($C$6:$C$370,C10,$E$6:$E$370))</f>
        <v>22 / 60</v>
      </c>
      <c r="I10" s="28" t="str">
        <f>CONCATENATE(SUMIF($D$6:$D10,D10,$E$6:$E$370)," / ",SUMIF($D$6:$D$370,D10,$E$6:$E$370))</f>
        <v>66 / 220</v>
      </c>
      <c r="J10" s="28" t="str">
        <f>CONCATENATE(SUM($E$6:$E10)," / ",SUM($E$6:$E$370))</f>
        <v>66 / 2214</v>
      </c>
      <c r="K10" s="24" t="s">
        <v>381</v>
      </c>
      <c r="L10" s="28" t="str">
        <f>CONCATENATE(SUMIF($C$6:$C10,C10,$G$6:$G$370)," / ",SUMIF($C$6:$C$370,C10,$G$6:$G$370))</f>
        <v>0 / 0</v>
      </c>
      <c r="M10" s="28" t="str">
        <f>CONCATENATE(SUMIF($D$6:$D10,D10,$G$6:$G$370)," / ",SUMIF($D$6:$D$370,D10,$G$6:$G$370))</f>
        <v>0 / 0</v>
      </c>
      <c r="N10" s="28" t="str">
        <f>CONCATENATE(SUM($G$6:$G10)," / ",SUM($G$6:$G$370))</f>
        <v>0 / 2316,5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2214</v>
      </c>
      <c r="K11" s="24"/>
      <c r="L11" s="28" t="str">
        <f>CONCATENATE(SUMIF($C$6:$C11,C11,$G$6:$G$370)," / ",SUMIF($C$6:$C$370,C11,$G$6:$G$370))</f>
        <v>0 / 0</v>
      </c>
      <c r="M11" s="28" t="str">
        <f>CONCATENATE(SUMIF($D$6:$D11,D11,$G$6:$G$370)," / ",SUMIF($D$6:$D$370,D11,$G$6:$G$370))</f>
        <v>0 / 0</v>
      </c>
      <c r="N11" s="28" t="str">
        <f>CONCATENATE(SUM($G$6:$G11)," / ",SUM($G$6:$G$370))</f>
        <v>0 / 2316,5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370</v>
      </c>
      <c r="G12" s="124"/>
      <c r="H12" s="28" t="str">
        <f>CONCATENATE(SUMIF($C$6:$C12,C12,$E$6:$E$370)," / ",SUMIF($C$6:$C$370,C12,$E$6:$E$370))</f>
        <v>42 / 60</v>
      </c>
      <c r="I12" s="28" t="str">
        <f>CONCATENATE(SUMIF($D$6:$D12,D12,$E$6:$E$370)," / ",SUMIF($D$6:$D$370,D12,$E$6:$E$370))</f>
        <v>86 / 220</v>
      </c>
      <c r="J12" s="28" t="str">
        <f>CONCATENATE(SUM($E$6:$E12)," / ",SUM($E$6:$E$370))</f>
        <v>86 / 2214</v>
      </c>
      <c r="K12" s="24" t="s">
        <v>381</v>
      </c>
      <c r="L12" s="28" t="str">
        <f>CONCATENATE(SUMIF($C$6:$C12,C12,$G$6:$G$370)," / ",SUMIF($C$6:$C$370,C12,$G$6:$G$370))</f>
        <v>0 / 0</v>
      </c>
      <c r="M12" s="28" t="str">
        <f>CONCATENATE(SUMIF($D$6:$D12,D12,$G$6:$G$370)," / ",SUMIF($D$6:$D$370,D12,$G$6:$G$370))</f>
        <v>0 / 0</v>
      </c>
      <c r="N12" s="28" t="str">
        <f>CONCATENATE(SUM($G$6:$G12)," / ",SUM($G$6:$G$370))</f>
        <v>0 / 2316,5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2214</v>
      </c>
      <c r="K13" s="24"/>
      <c r="L13" s="28" t="str">
        <f>CONCATENATE(SUMIF($C$6:$C13,C13,$G$6:$G$370)," / ",SUMIF($C$6:$C$370,C13,$G$6:$G$370))</f>
        <v>0 / 0</v>
      </c>
      <c r="M13" s="28" t="str">
        <f>CONCATENATE(SUMIF($D$6:$D13,D13,$G$6:$G$370)," / ",SUMIF($D$6:$D$370,D13,$G$6:$G$370))</f>
        <v>0 / 0</v>
      </c>
      <c r="N13" s="28" t="str">
        <f>CONCATENATE(SUM($G$6:$G13)," / ",SUM($G$6:$G$370))</f>
        <v>0 / 2316,5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2214</v>
      </c>
      <c r="K14" s="24"/>
      <c r="L14" s="28" t="str">
        <f>CONCATENATE(SUMIF($C$6:$C14,C14,$G$6:$G$370)," / ",SUMIF($C$6:$C$370,C14,$G$6:$G$370))</f>
        <v>0 / 0</v>
      </c>
      <c r="M14" s="28" t="str">
        <f>CONCATENATE(SUMIF($D$6:$D14,D14,$G$6:$G$370)," / ",SUMIF($D$6:$D$370,D14,$G$6:$G$370))</f>
        <v>0 / 0</v>
      </c>
      <c r="N14" s="28" t="str">
        <f>CONCATENATE(SUM($G$6:$G14)," / ",SUM($G$6:$G$370))</f>
        <v>0 / 2316,5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369</v>
      </c>
      <c r="G15" s="124"/>
      <c r="H15" s="28" t="str">
        <f>CONCATENATE(SUMIF($C$6:$C15,C15,$E$6:$E$370)," / ",SUMIF($C$6:$C$370,C15,$E$6:$E$370))</f>
        <v>60 / 60</v>
      </c>
      <c r="I15" s="28" t="str">
        <f>CONCATENATE(SUMIF($D$6:$D15,D15,$E$6:$E$370)," / ",SUMIF($D$6:$D$370,D15,$E$6:$E$370))</f>
        <v>104 / 220</v>
      </c>
      <c r="J15" s="28" t="str">
        <f>CONCATENATE(SUM($E$6:$E15)," / ",SUM($E$6:$E$370))</f>
        <v>104 / 2214</v>
      </c>
      <c r="K15" s="24" t="s">
        <v>380</v>
      </c>
      <c r="L15" s="28" t="str">
        <f>CONCATENATE(SUMIF($C$6:$C15,C15,$G$6:$G$370)," / ",SUMIF($C$6:$C$370,C15,$G$6:$G$370))</f>
        <v>0 / 0</v>
      </c>
      <c r="M15" s="28" t="str">
        <f>CONCATENATE(SUMIF($D$6:$D15,D15,$G$6:$G$370)," / ",SUMIF($D$6:$D$370,D15,$G$6:$G$370))</f>
        <v>0 / 0</v>
      </c>
      <c r="N15" s="28" t="str">
        <f>CONCATENATE(SUM($G$6:$G15)," / ",SUM($G$6:$G$370))</f>
        <v>0 / 2316,5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2214</v>
      </c>
      <c r="K16" s="24"/>
      <c r="L16" s="28" t="str">
        <f>CONCATENATE(SUMIF($C$6:$C16,C16,$G$6:$G$370)," / ",SUMIF($C$6:$C$370,C16,$G$6:$G$370))</f>
        <v>0 / 0</v>
      </c>
      <c r="M16" s="28" t="str">
        <f>CONCATENATE(SUMIF($D$6:$D16,D16,$G$6:$G$370)," / ",SUMIF($D$6:$D$370,D16,$G$6:$G$370))</f>
        <v>0 / 0</v>
      </c>
      <c r="N16" s="28" t="str">
        <f>CONCATENATE(SUM($G$6:$G16)," / ",SUM($G$6:$G$370))</f>
        <v>0 / 2316,5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415</v>
      </c>
      <c r="G17" s="124"/>
      <c r="H17" s="28" t="str">
        <f>CONCATENATE(SUMIF($C$6:$C17,C17,$E$6:$E$370)," / ",SUMIF($C$6:$C$370,C17,$E$6:$E$370))</f>
        <v>6 / 81</v>
      </c>
      <c r="I17" s="28" t="str">
        <f>CONCATENATE(SUMIF($D$6:$D17,D17,$E$6:$E$370)," / ",SUMIF($D$6:$D$370,D17,$E$6:$E$370))</f>
        <v>110 / 220</v>
      </c>
      <c r="J17" s="28" t="str">
        <f>CONCATENATE(SUM($E$6:$E17)," / ",SUM($E$6:$E$370))</f>
        <v>110 / 2214</v>
      </c>
      <c r="K17" s="24" t="s">
        <v>381</v>
      </c>
      <c r="L17" s="28" t="str">
        <f>CONCATENATE(SUMIF($C$6:$C17,C17,$G$6:$G$370)," / ",SUMIF($C$6:$C$370,C17,$G$6:$G$370))</f>
        <v>0 / 0</v>
      </c>
      <c r="M17" s="28" t="str">
        <f>CONCATENATE(SUMIF($D$6:$D17,D17,$G$6:$G$370)," / ",SUMIF($D$6:$D$370,D17,$G$6:$G$370))</f>
        <v>0 / 0</v>
      </c>
      <c r="N17" s="28" t="str">
        <f>CONCATENATE(SUM($G$6:$G17)," / ",SUM($G$6:$G$370))</f>
        <v>0 / 2316,5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2214</v>
      </c>
      <c r="K18" s="24"/>
      <c r="L18" s="28" t="str">
        <f>CONCATENATE(SUMIF($C$6:$C18,C18,$G$6:$G$370)," / ",SUMIF($C$6:$C$370,C18,$G$6:$G$370))</f>
        <v>0 / 0</v>
      </c>
      <c r="M18" s="28" t="str">
        <f>CONCATENATE(SUMIF($D$6:$D18,D18,$G$6:$G$370)," / ",SUMIF($D$6:$D$370,D18,$G$6:$G$370))</f>
        <v>0 / 0</v>
      </c>
      <c r="N18" s="28" t="str">
        <f>CONCATENATE(SUM($G$6:$G18)," / ",SUM($G$6:$G$370))</f>
        <v>0 / 2316,5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371</v>
      </c>
      <c r="G19" s="124"/>
      <c r="H19" s="28" t="str">
        <f>CONCATENATE(SUMIF($C$6:$C19,C19,$E$6:$E$370)," / ",SUMIF($C$6:$C$370,C19,$E$6:$E$370))</f>
        <v>35 / 81</v>
      </c>
      <c r="I19" s="28" t="str">
        <f>CONCATENATE(SUMIF($D$6:$D19,D19,$E$6:$E$370)," / ",SUMIF($D$6:$D$370,D19,$E$6:$E$370))</f>
        <v>139 / 220</v>
      </c>
      <c r="J19" s="28" t="str">
        <f>CONCATENATE(SUM($E$6:$E19)," / ",SUM($E$6:$E$370))</f>
        <v>139 / 2214</v>
      </c>
      <c r="K19" s="24" t="s">
        <v>381</v>
      </c>
      <c r="L19" s="28" t="str">
        <f>CONCATENATE(SUMIF($C$6:$C19,C19,$G$6:$G$370)," / ",SUMIF($C$6:$C$370,C19,$G$6:$G$370))</f>
        <v>0 / 0</v>
      </c>
      <c r="M19" s="28" t="str">
        <f>CONCATENATE(SUMIF($D$6:$D19,D19,$G$6:$G$370)," / ",SUMIF($D$6:$D$370,D19,$G$6:$G$370))</f>
        <v>0 / 0</v>
      </c>
      <c r="N19" s="28" t="str">
        <f>CONCATENATE(SUM($G$6:$G19)," / ",SUM($G$6:$G$370))</f>
        <v>0 / 2316,5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371</v>
      </c>
      <c r="G20" s="124"/>
      <c r="H20" s="28" t="str">
        <f>CONCATENATE(SUMIF($C$6:$C20,C20,$E$6:$E$370)," / ",SUMIF($C$6:$C$370,C20,$E$6:$E$370))</f>
        <v>51 / 81</v>
      </c>
      <c r="I20" s="28" t="str">
        <f>CONCATENATE(SUMIF($D$6:$D20,D20,$E$6:$E$370)," / ",SUMIF($D$6:$D$370,D20,$E$6:$E$370))</f>
        <v>155 / 220</v>
      </c>
      <c r="J20" s="28" t="str">
        <f>CONCATENATE(SUM($E$6:$E20)," / ",SUM($E$6:$E$370))</f>
        <v>155 / 2214</v>
      </c>
      <c r="K20" s="24" t="s">
        <v>381</v>
      </c>
      <c r="L20" s="28" t="str">
        <f>CONCATENATE(SUMIF($C$6:$C20,C20,$G$6:$G$370)," / ",SUMIF($C$6:$C$370,C20,$G$6:$G$370))</f>
        <v>0 / 0</v>
      </c>
      <c r="M20" s="28" t="str">
        <f>CONCATENATE(SUMIF($D$6:$D20,D20,$G$6:$G$370)," / ",SUMIF($D$6:$D$370,D20,$G$6:$G$370))</f>
        <v>0 / 0</v>
      </c>
      <c r="N20" s="28" t="str">
        <f>CONCATENATE(SUM($G$6:$G20)," / ",SUM($G$6:$G$370))</f>
        <v>0 / 2316,5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416</v>
      </c>
      <c r="G21" s="124"/>
      <c r="H21" s="28" t="str">
        <f>CONCATENATE(SUMIF($C$6:$C21,C21,$E$6:$E$370)," / ",SUMIF($C$6:$C$370,C21,$E$6:$E$370))</f>
        <v>63 / 81</v>
      </c>
      <c r="I21" s="28" t="str">
        <f>CONCATENATE(SUMIF($D$6:$D21,D21,$E$6:$E$370)," / ",SUMIF($D$6:$D$370,D21,$E$6:$E$370))</f>
        <v>167 / 220</v>
      </c>
      <c r="J21" s="28" t="str">
        <f>CONCATENATE(SUM($E$6:$E21)," / ",SUM($E$6:$E$370))</f>
        <v>167 / 2214</v>
      </c>
      <c r="K21" s="24" t="s">
        <v>381</v>
      </c>
      <c r="L21" s="28" t="str">
        <f>CONCATENATE(SUMIF($C$6:$C21,C21,$G$6:$G$370)," / ",SUMIF($C$6:$C$370,C21,$G$6:$G$370))</f>
        <v>0 / 0</v>
      </c>
      <c r="M21" s="28" t="str">
        <f>CONCATENATE(SUMIF($D$6:$D21,D21,$G$6:$G$370)," / ",SUMIF($D$6:$D$370,D21,$G$6:$G$370))</f>
        <v>0 / 0</v>
      </c>
      <c r="N21" s="28" t="str">
        <f>CONCATENATE(SUM($G$6:$G21)," / ",SUM($G$6:$G$370))</f>
        <v>0 / 2316,5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373</v>
      </c>
      <c r="G22" s="124"/>
      <c r="H22" s="28" t="str">
        <f>CONCATENATE(SUMIF($C$6:$C22,C22,$E$6:$E$370)," / ",SUMIF($C$6:$C$370,C22,$E$6:$E$370))</f>
        <v>81 / 81</v>
      </c>
      <c r="I22" s="28" t="str">
        <f>CONCATENATE(SUMIF($D$6:$D22,D22,$E$6:$E$370)," / ",SUMIF($D$6:$D$370,D22,$E$6:$E$370))</f>
        <v>185 / 220</v>
      </c>
      <c r="J22" s="28" t="str">
        <f>CONCATENATE(SUM($E$6:$E22)," / ",SUM($E$6:$E$370))</f>
        <v>185 / 2214</v>
      </c>
      <c r="K22" s="24" t="s">
        <v>381</v>
      </c>
      <c r="L22" s="28" t="str">
        <f>CONCATENATE(SUMIF($C$6:$C22,C22,$G$6:$G$370)," / ",SUMIF($C$6:$C$370,C22,$G$6:$G$370))</f>
        <v>0 / 0</v>
      </c>
      <c r="M22" s="28" t="str">
        <f>CONCATENATE(SUMIF($D$6:$D22,D22,$G$6:$G$370)," / ",SUMIF($D$6:$D$370,D22,$G$6:$G$370))</f>
        <v>0 / 0</v>
      </c>
      <c r="N22" s="28" t="str">
        <f>CONCATENATE(SUM($G$6:$G22)," / ",SUM($G$6:$G$370))</f>
        <v>0 / 2316,5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2214</v>
      </c>
      <c r="K23" s="208" t="s">
        <v>381</v>
      </c>
      <c r="L23" s="28" t="str">
        <f>CONCATENATE(SUMIF($C$6:$C23,C23,$G$6:$G$370)," / ",SUMIF($C$6:$C$370,C23,$G$6:$G$370))</f>
        <v>0 / 0</v>
      </c>
      <c r="M23" s="28" t="str">
        <f>CONCATENATE(SUMIF($D$6:$D23,D23,$G$6:$G$370)," / ",SUMIF($D$6:$D$370,D23,$G$6:$G$370))</f>
        <v>0 / 0</v>
      </c>
      <c r="N23" s="28" t="str">
        <f>CONCATENATE(SUM($G$6:$G23)," / ",SUM($G$6:$G$370))</f>
        <v>0 / 2316,5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373</v>
      </c>
      <c r="G24" s="124"/>
      <c r="H24" s="28" t="str">
        <f>CONCATENATE(SUMIF($C$6:$C24,C24,$E$6:$E$370)," / ",SUMIF($C$6:$C$370,C24,$E$6:$E$370))</f>
        <v>11 / 35</v>
      </c>
      <c r="I24" s="28" t="str">
        <f>CONCATENATE(SUMIF($D$6:$D24,D24,$E$6:$E$370)," / ",SUMIF($D$6:$D$370,D24,$E$6:$E$370))</f>
        <v>196 / 220</v>
      </c>
      <c r="J24" s="28" t="str">
        <f>CONCATENATE(SUM($E$6:$E24)," / ",SUM($E$6:$E$370))</f>
        <v>196 / 2214</v>
      </c>
      <c r="K24" s="24"/>
      <c r="L24" s="28" t="str">
        <f>CONCATENATE(SUMIF($C$6:$C24,C24,$G$6:$G$370)," / ",SUMIF($C$6:$C$370,C24,$G$6:$G$370))</f>
        <v>0 / 0</v>
      </c>
      <c r="M24" s="28" t="str">
        <f>CONCATENATE(SUMIF($D$6:$D24,D24,$G$6:$G$370)," / ",SUMIF($D$6:$D$370,D24,$G$6:$G$370))</f>
        <v>0 / 0</v>
      </c>
      <c r="N24" s="28" t="str">
        <f>CONCATENATE(SUM($G$6:$G24)," / ",SUM($G$6:$G$370))</f>
        <v>0 / 2316,5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417</v>
      </c>
      <c r="G25" s="124"/>
      <c r="H25" s="28" t="str">
        <f>CONCATENATE(SUMIF($C$6:$C25,C25,$E$6:$E$370)," / ",SUMIF($C$6:$C$370,C25,$E$6:$E$370))</f>
        <v>11 / 35</v>
      </c>
      <c r="I25" s="28" t="str">
        <f>CONCATENATE(SUMIF($D$6:$D25,D25,$E$6:$E$370)," / ",SUMIF($D$6:$D$370,D25,$E$6:$E$370))</f>
        <v>196 / 220</v>
      </c>
      <c r="J25" s="28" t="str">
        <f>CONCATENATE(SUM($E$6:$E25)," / ",SUM($E$6:$E$370))</f>
        <v>196 / 2214</v>
      </c>
      <c r="K25" s="24"/>
      <c r="L25" s="28" t="str">
        <f>CONCATENATE(SUMIF($C$6:$C25,C25,$G$6:$G$370)," / ",SUMIF($C$6:$C$370,C25,$G$6:$G$370))</f>
        <v>0 / 0</v>
      </c>
      <c r="M25" s="28" t="str">
        <f>CONCATENATE(SUMIF($D$6:$D25,D25,$G$6:$G$370)," / ",SUMIF($D$6:$D$370,D25,$G$6:$G$370))</f>
        <v>0 / 0</v>
      </c>
      <c r="N25" s="28" t="str">
        <f>CONCATENATE(SUM($G$6:$G25)," / ",SUM($G$6:$G$370))</f>
        <v>0 / 2316,5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2214</v>
      </c>
      <c r="K26" s="24"/>
      <c r="L26" s="28" t="str">
        <f>CONCATENATE(SUMIF($C$6:$C26,C26,$G$6:$G$370)," / ",SUMIF($C$6:$C$370,C26,$G$6:$G$370))</f>
        <v>0 / 0</v>
      </c>
      <c r="M26" s="28" t="str">
        <f>CONCATENATE(SUMIF($D$6:$D26,D26,$G$6:$G$370)," / ",SUMIF($D$6:$D$370,D26,$G$6:$G$370))</f>
        <v>0 / 0</v>
      </c>
      <c r="N26" s="28" t="str">
        <f>CONCATENATE(SUM($G$6:$G26)," / ",SUM($G$6:$G$370))</f>
        <v>0 / 2316,5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418</v>
      </c>
      <c r="G27" s="124"/>
      <c r="H27" s="28" t="str">
        <f>CONCATENATE(SUMIF($C$6:$C27,C27,$E$6:$E$370)," / ",SUMIF($C$6:$C$370,C27,$E$6:$E$370))</f>
        <v>24 / 35</v>
      </c>
      <c r="I27" s="28" t="str">
        <f>CONCATENATE(SUMIF($D$6:$D27,D27,$E$6:$E$370)," / ",SUMIF($D$6:$D$370,D27,$E$6:$E$370))</f>
        <v>209 / 220</v>
      </c>
      <c r="J27" s="28" t="str">
        <f>CONCATENATE(SUM($E$6:$E27)," / ",SUM($E$6:$E$370))</f>
        <v>209 / 2214</v>
      </c>
      <c r="K27" s="24" t="s">
        <v>381</v>
      </c>
      <c r="L27" s="28" t="str">
        <f>CONCATENATE(SUMIF($C$6:$C27,C27,$G$6:$G$370)," / ",SUMIF($C$6:$C$370,C27,$G$6:$G$370))</f>
        <v>0 / 0</v>
      </c>
      <c r="M27" s="28" t="str">
        <f>CONCATENATE(SUMIF($D$6:$D27,D27,$G$6:$G$370)," / ",SUMIF($D$6:$D$370,D27,$G$6:$G$370))</f>
        <v>0 / 0</v>
      </c>
      <c r="N27" s="28" t="str">
        <f>CONCATENATE(SUM($G$6:$G27)," / ",SUM($G$6:$G$370))</f>
        <v>0 / 2316,5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419</v>
      </c>
      <c r="G28" s="124"/>
      <c r="H28" s="28" t="str">
        <f>CONCATENATE(SUMIF($C$6:$C28,C28,$E$6:$E$370)," / ",SUMIF($C$6:$C$370,C28,$E$6:$E$370))</f>
        <v>35 / 35</v>
      </c>
      <c r="I28" s="28" t="str">
        <f>CONCATENATE(SUMIF($D$6:$D28,D28,$E$6:$E$370)," / ",SUMIF($D$6:$D$370,D28,$E$6:$E$370))</f>
        <v>220 / 220</v>
      </c>
      <c r="J28" s="28" t="str">
        <f>CONCATENATE(SUM($E$6:$E28)," / ",SUM($E$6:$E$370))</f>
        <v>220 / 2214</v>
      </c>
      <c r="K28" s="24" t="s">
        <v>381</v>
      </c>
      <c r="L28" s="28" t="str">
        <f>CONCATENATE(SUMIF($C$6:$C28,C28,$G$6:$G$370)," / ",SUMIF($C$6:$C$370,C28,$G$6:$G$370))</f>
        <v>0 / 0</v>
      </c>
      <c r="M28" s="28" t="str">
        <f>CONCATENATE(SUMIF($D$6:$D28,D28,$G$6:$G$370)," / ",SUMIF($D$6:$D$370,D28,$G$6:$G$370))</f>
        <v>0 / 0</v>
      </c>
      <c r="N28" s="28" t="str">
        <f>CONCATENATE(SUM($G$6:$G28)," / ",SUM($G$6:$G$370))</f>
        <v>0 / 2316,5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420</v>
      </c>
      <c r="G29" s="124"/>
      <c r="H29" s="28" t="str">
        <f>CONCATENATE(SUMIF($C$6:$C29,C29,$E$6:$E$370)," / ",SUMIF($C$6:$C$370,C29,$E$6:$E$370))</f>
        <v>35 / 35</v>
      </c>
      <c r="I29" s="28" t="str">
        <f>CONCATENATE(SUMIF($D$6:$D29,D29,$E$6:$E$370)," / ",SUMIF($D$6:$D$370,D29,$E$6:$E$370))</f>
        <v>220 / 220</v>
      </c>
      <c r="J29" s="28" t="str">
        <f>CONCATENATE(SUM($E$6:$E29)," / ",SUM($E$6:$E$370))</f>
        <v>220 / 2214</v>
      </c>
      <c r="K29" s="24"/>
      <c r="L29" s="28" t="str">
        <f>CONCATENATE(SUMIF($C$6:$C29,C29,$G$6:$G$370)," / ",SUMIF($C$6:$C$370,C29,$G$6:$G$370))</f>
        <v>0 / 0</v>
      </c>
      <c r="M29" s="28" t="str">
        <f>CONCATENATE(SUMIF($D$6:$D29,D29,$G$6:$G$370)," / ",SUMIF($D$6:$D$370,D29,$G$6:$G$370))</f>
        <v>0 / 0</v>
      </c>
      <c r="N29" s="28" t="str">
        <f>CONCATENATE(SUM($G$6:$G29)," / ",SUM($G$6:$G$370))</f>
        <v>0 / 2316,5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368</v>
      </c>
      <c r="G30" s="193"/>
      <c r="H30" s="194" t="str">
        <f>CONCATENATE(SUMIF($C$6:$C30,C30,$E$6:$E$370)," / ",SUMIF($C$6:$C$370,C30,$E$6:$E$370))</f>
        <v>26 / 87</v>
      </c>
      <c r="I30" s="194" t="str">
        <f>CONCATENATE(SUMIF($D$6:$D30,D30,$E$6:$E$370)," / ",SUMIF($D$6:$D$370,D30,$E$6:$E$370))</f>
        <v>26 / 212</v>
      </c>
      <c r="J30" s="194" t="str">
        <f>CONCATENATE(SUM($E$6:$E30)," / ",SUM($E$6:$E$370))</f>
        <v>246 / 2214</v>
      </c>
      <c r="K30" s="196" t="s">
        <v>380</v>
      </c>
      <c r="L30" s="28" t="str">
        <f>CONCATENATE(SUMIF($C$6:$C30,C30,$G$6:$G$370)," / ",SUMIF($C$6:$C$370,C30,$G$6:$G$370))</f>
        <v>0 / 0</v>
      </c>
      <c r="M30" s="28" t="str">
        <f>CONCATENATE(SUMIF($D$6:$D30,D30,$G$6:$G$370)," / ",SUMIF($D$6:$D$370,D30,$G$6:$G$370))</f>
        <v>0 / 0</v>
      </c>
      <c r="N30" s="28" t="str">
        <f>CONCATENATE(SUM($G$6:$G30)," / ",SUM($G$6:$G$370))</f>
        <v>0 / 2316,5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373</v>
      </c>
      <c r="G31" s="124"/>
      <c r="H31" s="28" t="str">
        <f>CONCATENATE(SUMIF($C$6:$C31,C31,$E$6:$E$370)," / ",SUMIF($C$6:$C$370,C31,$E$6:$E$370))</f>
        <v>41 / 87</v>
      </c>
      <c r="I31" s="28" t="str">
        <f>CONCATENATE(SUMIF($D$6:$D31,D31,$E$6:$E$370)," / ",SUMIF($D$6:$D$370,D31,$E$6:$E$370))</f>
        <v>41 / 212</v>
      </c>
      <c r="J31" s="28" t="str">
        <f>CONCATENATE(SUM($E$6:$E31)," / ",SUM($E$6:$E$370))</f>
        <v>261 / 2214</v>
      </c>
      <c r="K31" s="25" t="s">
        <v>380</v>
      </c>
      <c r="L31" s="28" t="str">
        <f>CONCATENATE(SUMIF($C$6:$C31,C31,$G$6:$G$370)," / ",SUMIF($C$6:$C$370,C31,$G$6:$G$370))</f>
        <v>0 / 0</v>
      </c>
      <c r="M31" s="28" t="str">
        <f>CONCATENATE(SUMIF($D$6:$D31,D31,$G$6:$G$370)," / ",SUMIF($D$6:$D$370,D31,$G$6:$G$370))</f>
        <v>0 / 0</v>
      </c>
      <c r="N31" s="28" t="str">
        <f>CONCATENATE(SUM($G$6:$G31)," / ",SUM($G$6:$G$370))</f>
        <v>0 / 2316,5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2214</v>
      </c>
      <c r="K32" s="24"/>
      <c r="L32" s="28" t="str">
        <f>CONCATENATE(SUMIF($C$6:$C32,C32,$G$6:$G$370)," / ",SUMIF($C$6:$C$370,C32,$G$6:$G$370))</f>
        <v>0 / 0</v>
      </c>
      <c r="M32" s="28" t="str">
        <f>CONCATENATE(SUMIF($D$6:$D32,D32,$G$6:$G$370)," / ",SUMIF($D$6:$D$370,D32,$G$6:$G$370))</f>
        <v>0 / 0</v>
      </c>
      <c r="N32" s="28" t="str">
        <f>CONCATENATE(SUM($G$6:$G32)," / ",SUM($G$6:$G$370))</f>
        <v>0 / 2316,5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422</v>
      </c>
      <c r="G33" s="124"/>
      <c r="H33" s="28" t="str">
        <f>CONCATENATE(SUMIF($C$6:$C33,C33,$E$6:$E$370)," / ",SUMIF($C$6:$C$370,C33,$E$6:$E$370))</f>
        <v>55 / 87</v>
      </c>
      <c r="I33" s="28" t="str">
        <f>CONCATENATE(SUMIF($D$6:$D33,D33,$E$6:$E$370)," / ",SUMIF($D$6:$D$370,D33,$E$6:$E$370))</f>
        <v>55 / 212</v>
      </c>
      <c r="J33" s="28" t="str">
        <f>CONCATENATE(SUM($E$6:$E33)," / ",SUM($E$6:$E$370))</f>
        <v>275 / 2214</v>
      </c>
      <c r="K33" s="25" t="s">
        <v>380</v>
      </c>
      <c r="L33" s="28" t="str">
        <f>CONCATENATE(SUMIF($C$6:$C33,C33,$G$6:$G$370)," / ",SUMIF($C$6:$C$370,C33,$G$6:$G$370))</f>
        <v>0 / 0</v>
      </c>
      <c r="M33" s="28" t="str">
        <f>CONCATENATE(SUMIF($D$6:$D33,D33,$G$6:$G$370)," / ",SUMIF($D$6:$D$370,D33,$G$6:$G$370))</f>
        <v>0 / 0</v>
      </c>
      <c r="N33" s="28" t="str">
        <f>CONCATENATE(SUM($G$6:$G33)," / ",SUM($G$6:$G$370))</f>
        <v>0 / 2316,5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421</v>
      </c>
      <c r="G34" s="124"/>
      <c r="H34" s="28" t="str">
        <f>CONCATENATE(SUMIF($C$6:$C34,C34,$E$6:$E$370)," / ",SUMIF($C$6:$C$370,C34,$E$6:$E$370))</f>
        <v>65 / 87</v>
      </c>
      <c r="I34" s="28" t="str">
        <f>CONCATENATE(SUMIF($D$6:$D34,D34,$E$6:$E$370)," / ",SUMIF($D$6:$D$370,D34,$E$6:$E$370))</f>
        <v>65 / 212</v>
      </c>
      <c r="J34" s="28" t="str">
        <f>CONCATENATE(SUM($E$6:$E34)," / ",SUM($E$6:$E$370))</f>
        <v>285 / 2214</v>
      </c>
      <c r="K34" s="24" t="s">
        <v>380</v>
      </c>
      <c r="L34" s="28" t="str">
        <f>CONCATENATE(SUMIF($C$6:$C34,C34,$G$6:$G$370)," / ",SUMIF($C$6:$C$370,C34,$G$6:$G$370))</f>
        <v>0 / 0</v>
      </c>
      <c r="M34" s="28" t="str">
        <f>CONCATENATE(SUMIF($D$6:$D34,D34,$G$6:$G$370)," / ",SUMIF($D$6:$D$370,D34,$G$6:$G$370))</f>
        <v>0 / 0</v>
      </c>
      <c r="N34" s="28" t="str">
        <f>CONCATENATE(SUM($G$6:$G34)," / ",SUM($G$6:$G$370))</f>
        <v>0 / 2316,5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2214</v>
      </c>
      <c r="K35" s="24"/>
      <c r="L35" s="28" t="str">
        <f>CONCATENATE(SUMIF($C$6:$C35,C35,$G$6:$G$370)," / ",SUMIF($C$6:$C$370,C35,$G$6:$G$370))</f>
        <v>0 / 0</v>
      </c>
      <c r="M35" s="28" t="str">
        <f>CONCATENATE(SUMIF($D$6:$D35,D35,$G$6:$G$370)," / ",SUMIF($D$6:$D$370,D35,$G$6:$G$370))</f>
        <v>0 / 0</v>
      </c>
      <c r="N35" s="28" t="str">
        <f>CONCATENATE(SUM($G$6:$G35)," / ",SUM($G$6:$G$370))</f>
        <v>0 / 2316,5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423</v>
      </c>
      <c r="G36" s="124"/>
      <c r="H36" s="28" t="str">
        <f>CONCATENATE(SUMIF($C$6:$C36,C36,$E$6:$E$370)," / ",SUMIF($C$6:$C$370,C36,$E$6:$E$370))</f>
        <v>87 / 87</v>
      </c>
      <c r="I36" s="28" t="str">
        <f>CONCATENATE(SUMIF($D$6:$D36,D36,$E$6:$E$370)," / ",SUMIF($D$6:$D$370,D36,$E$6:$E$370))</f>
        <v>87 / 212</v>
      </c>
      <c r="J36" s="28" t="str">
        <f>CONCATENATE(SUM($E$6:$E36)," / ",SUM($E$6:$E$370))</f>
        <v>307 / 2214</v>
      </c>
      <c r="K36" s="24" t="s">
        <v>380</v>
      </c>
      <c r="L36" s="28" t="str">
        <f>CONCATENATE(SUMIF($C$6:$C36,C36,$G$6:$G$370)," / ",SUMIF($C$6:$C$370,C36,$G$6:$G$370))</f>
        <v>0 / 0</v>
      </c>
      <c r="M36" s="28" t="str">
        <f>CONCATENATE(SUMIF($D$6:$D36,D36,$G$6:$G$370)," / ",SUMIF($D$6:$D$370,D36,$G$6:$G$370))</f>
        <v>0 / 0</v>
      </c>
      <c r="N36" s="28" t="str">
        <f>CONCATENATE(SUM($G$6:$G36)," / ",SUM($G$6:$G$370))</f>
        <v>0 / 2316,5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2214</v>
      </c>
      <c r="K37" s="24"/>
      <c r="L37" s="28" t="str">
        <f>CONCATENATE(SUMIF($C$6:$C37,C37,$G$6:$G$370)," / ",SUMIF($C$6:$C$370,C37,$G$6:$G$370))</f>
        <v>0 / 0</v>
      </c>
      <c r="M37" s="28" t="str">
        <f>CONCATENATE(SUMIF($D$6:$D37,D37,$G$6:$G$370)," / ",SUMIF($D$6:$D$370,D37,$G$6:$G$370))</f>
        <v>0 / 0</v>
      </c>
      <c r="N37" s="28" t="str">
        <f>CONCATENATE(SUM($G$6:$G37)," / ",SUM($G$6:$G$370))</f>
        <v>0 / 2316,5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424</v>
      </c>
      <c r="G38" s="124"/>
      <c r="H38" s="28" t="str">
        <f>CONCATENATE(SUMIF($C$6:$C38,C38,$E$6:$E$370)," / ",SUMIF($C$6:$C$370,C38,$E$6:$E$370))</f>
        <v>9 / 47</v>
      </c>
      <c r="I38" s="28" t="str">
        <f>CONCATENATE(SUMIF($D$6:$D38,D38,$E$6:$E$370)," / ",SUMIF($D$6:$D$370,D38,$E$6:$E$370))</f>
        <v>96 / 212</v>
      </c>
      <c r="J38" s="28" t="str">
        <f>CONCATENATE(SUM($E$6:$E38)," / ",SUM($E$6:$E$370))</f>
        <v>316 / 2214</v>
      </c>
      <c r="K38" s="24" t="s">
        <v>379</v>
      </c>
      <c r="L38" s="28" t="str">
        <f>CONCATENATE(SUMIF($C$6:$C38,C38,$G$6:$G$370)," / ",SUMIF($C$6:$C$370,C38,$G$6:$G$370))</f>
        <v>0 / 0</v>
      </c>
      <c r="M38" s="28" t="str">
        <f>CONCATENATE(SUMIF($D$6:$D38,D38,$G$6:$G$370)," / ",SUMIF($D$6:$D$370,D38,$G$6:$G$370))</f>
        <v>0 / 0</v>
      </c>
      <c r="N38" s="28" t="str">
        <f>CONCATENATE(SUM($G$6:$G38)," / ",SUM($G$6:$G$370))</f>
        <v>0 / 2316,5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425</v>
      </c>
      <c r="G39" s="124"/>
      <c r="H39" s="28" t="str">
        <f>CONCATENATE(SUMIF($C$6:$C39,C39,$E$6:$E$370)," / ",SUMIF($C$6:$C$370,C39,$E$6:$E$370))</f>
        <v>29 / 47</v>
      </c>
      <c r="I39" s="28" t="str">
        <f>CONCATENATE(SUMIF($D$6:$D39,D39,$E$6:$E$370)," / ",SUMIF($D$6:$D$370,D39,$E$6:$E$370))</f>
        <v>116 / 212</v>
      </c>
      <c r="J39" s="28" t="str">
        <f>CONCATENATE(SUM($E$6:$E39)," / ",SUM($E$6:$E$370))</f>
        <v>336 / 2214</v>
      </c>
      <c r="K39" s="24" t="s">
        <v>380</v>
      </c>
      <c r="L39" s="28" t="str">
        <f>CONCATENATE(SUMIF($C$6:$C39,C39,$G$6:$G$370)," / ",SUMIF($C$6:$C$370,C39,$G$6:$G$370))</f>
        <v>0 / 0</v>
      </c>
      <c r="M39" s="28" t="str">
        <f>CONCATENATE(SUMIF($D$6:$D39,D39,$G$6:$G$370)," / ",SUMIF($D$6:$D$370,D39,$G$6:$G$370))</f>
        <v>0 / 0</v>
      </c>
      <c r="N39" s="28" t="str">
        <f>CONCATENATE(SUM($G$6:$G39)," / ",SUM($G$6:$G$370))</f>
        <v>0 / 2316,5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2214</v>
      </c>
      <c r="K40" s="24"/>
      <c r="L40" s="28" t="str">
        <f>CONCATENATE(SUMIF($C$6:$C40,C40,$G$6:$G$370)," / ",SUMIF($C$6:$C$370,C40,$G$6:$G$370))</f>
        <v>0 / 0</v>
      </c>
      <c r="M40" s="28" t="str">
        <f>CONCATENATE(SUMIF($D$6:$D40,D40,$G$6:$G$370)," / ",SUMIF($D$6:$D$370,D40,$G$6:$G$370))</f>
        <v>0 / 0</v>
      </c>
      <c r="N40" s="28" t="str">
        <f>CONCATENATE(SUM($G$6:$G40)," / ",SUM($G$6:$G$370))</f>
        <v>0 / 2316,5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429</v>
      </c>
      <c r="G41" s="124"/>
      <c r="H41" s="28" t="str">
        <f>CONCATENATE(SUMIF($C$6:$C41,C41,$E$6:$E$370)," / ",SUMIF($C$6:$C$370,C41,$E$6:$E$370))</f>
        <v>37 / 47</v>
      </c>
      <c r="I41" s="28" t="str">
        <f>CONCATENATE(SUMIF($D$6:$D41,D41,$E$6:$E$370)," / ",SUMIF($D$6:$D$370,D41,$E$6:$E$370))</f>
        <v>124 / 212</v>
      </c>
      <c r="J41" s="28" t="str">
        <f>CONCATENATE(SUM($E$6:$E41)," / ",SUM($E$6:$E$370))</f>
        <v>344 / 2214</v>
      </c>
      <c r="K41" s="24" t="s">
        <v>379</v>
      </c>
      <c r="L41" s="28" t="str">
        <f>CONCATENATE(SUMIF($C$6:$C41,C41,$G$6:$G$370)," / ",SUMIF($C$6:$C$370,C41,$G$6:$G$370))</f>
        <v>0 / 0</v>
      </c>
      <c r="M41" s="28" t="str">
        <f>CONCATENATE(SUMIF($D$6:$D41,D41,$G$6:$G$370)," / ",SUMIF($D$6:$D$370,D41,$G$6:$G$370))</f>
        <v>0 / 0</v>
      </c>
      <c r="N41" s="28" t="str">
        <f>CONCATENATE(SUM($G$6:$G41)," / ",SUM($G$6:$G$370))</f>
        <v>0 / 2316,5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2214</v>
      </c>
      <c r="K42" s="24"/>
      <c r="L42" s="28" t="str">
        <f>CONCATENATE(SUMIF($C$6:$C42,C42,$G$6:$G$370)," / ",SUMIF($C$6:$C$370,C42,$G$6:$G$370))</f>
        <v>0 / 0</v>
      </c>
      <c r="M42" s="28" t="str">
        <f>CONCATENATE(SUMIF($D$6:$D42,D42,$G$6:$G$370)," / ",SUMIF($D$6:$D$370,D42,$G$6:$G$370))</f>
        <v>0 / 0</v>
      </c>
      <c r="N42" s="28" t="str">
        <f>CONCATENATE(SUM($G$6:$G42)," / ",SUM($G$6:$G$370))</f>
        <v>0 / 2316,5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427</v>
      </c>
      <c r="G43" s="124"/>
      <c r="H43" s="28" t="str">
        <f>CONCATENATE(SUMIF($C$6:$C43,C43,$E$6:$E$370)," / ",SUMIF($C$6:$C$370,C43,$E$6:$E$370))</f>
        <v>47 / 47</v>
      </c>
      <c r="I43" s="28" t="str">
        <f>CONCATENATE(SUMIF($D$6:$D43,D43,$E$6:$E$370)," / ",SUMIF($D$6:$D$370,D43,$E$6:$E$370))</f>
        <v>134 / 212</v>
      </c>
      <c r="J43" s="28" t="str">
        <f>CONCATENATE(SUM($E$6:$E43)," / ",SUM($E$6:$E$370))</f>
        <v>354 / 2214</v>
      </c>
      <c r="K43" s="24" t="s">
        <v>379</v>
      </c>
      <c r="L43" s="28" t="str">
        <f>CONCATENATE(SUMIF($C$6:$C43,C43,$G$6:$G$370)," / ",SUMIF($C$6:$C$370,C43,$G$6:$G$370))</f>
        <v>0 / 0</v>
      </c>
      <c r="M43" s="28" t="str">
        <f>CONCATENATE(SUMIF($D$6:$D43,D43,$G$6:$G$370)," / ",SUMIF($D$6:$D$370,D43,$G$6:$G$370))</f>
        <v>0 / 0</v>
      </c>
      <c r="N43" s="28" t="str">
        <f>CONCATENATE(SUM($G$6:$G43)," / ",SUM($G$6:$G$370))</f>
        <v>0 / 2316,5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2214</v>
      </c>
      <c r="K44" s="24"/>
      <c r="L44" s="28" t="str">
        <f>CONCATENATE(SUMIF($C$6:$C44,C44,$G$6:$G$370)," / ",SUMIF($C$6:$C$370,C44,$G$6:$G$370))</f>
        <v>0 / 0</v>
      </c>
      <c r="M44" s="28" t="str">
        <f>CONCATENATE(SUMIF($D$6:$D44,D44,$G$6:$G$370)," / ",SUMIF($D$6:$D$370,D44,$G$6:$G$370))</f>
        <v>0 / 0</v>
      </c>
      <c r="N44" s="28" t="str">
        <f>CONCATENATE(SUM($G$6:$G44)," / ",SUM($G$6:$G$370))</f>
        <v>0 / 2316,5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428</v>
      </c>
      <c r="G45" s="124"/>
      <c r="H45" s="28" t="str">
        <f>CONCATENATE(SUMIF($C$6:$C45,C45,$E$6:$E$370)," / ",SUMIF($C$6:$C$370,C45,$E$6:$E$370))</f>
        <v>10 / 36</v>
      </c>
      <c r="I45" s="28" t="str">
        <f>CONCATENATE(SUMIF($D$6:$D45,D45,$E$6:$E$370)," / ",SUMIF($D$6:$D$370,D45,$E$6:$E$370))</f>
        <v>144 / 212</v>
      </c>
      <c r="J45" s="28" t="str">
        <f>CONCATENATE(SUM($E$6:$E45)," / ",SUM($E$6:$E$370))</f>
        <v>364 / 2214</v>
      </c>
      <c r="K45" s="24" t="s">
        <v>426</v>
      </c>
      <c r="L45" s="28" t="str">
        <f>CONCATENATE(SUMIF($C$6:$C45,C45,$G$6:$G$370)," / ",SUMIF($C$6:$C$370,C45,$G$6:$G$370))</f>
        <v>0 / 0</v>
      </c>
      <c r="M45" s="28" t="str">
        <f>CONCATENATE(SUMIF($D$6:$D45,D45,$G$6:$G$370)," / ",SUMIF($D$6:$D$370,D45,$G$6:$G$370))</f>
        <v>0 / 0</v>
      </c>
      <c r="N45" s="28" t="str">
        <f>CONCATENATE(SUM($G$6:$G45)," / ",SUM($G$6:$G$370))</f>
        <v>0 / 2316,5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2214</v>
      </c>
      <c r="K46" s="24"/>
      <c r="L46" s="28" t="str">
        <f>CONCATENATE(SUMIF($C$6:$C46,C46,$G$6:$G$370)," / ",SUMIF($C$6:$C$370,C46,$G$6:$G$370))</f>
        <v>0 / 0</v>
      </c>
      <c r="M46" s="28" t="str">
        <f>CONCATENATE(SUMIF($D$6:$D46,D46,$G$6:$G$370)," / ",SUMIF($D$6:$D$370,D46,$G$6:$G$370))</f>
        <v>0 / 0</v>
      </c>
      <c r="N46" s="28" t="str">
        <f>CONCATENATE(SUM($G$6:$G46)," / ",SUM($G$6:$G$370))</f>
        <v>0 / 2316,5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428</v>
      </c>
      <c r="G47" s="124"/>
      <c r="H47" s="28" t="str">
        <f>CONCATENATE(SUMIF($C$6:$C47,C47,$E$6:$E$370)," / ",SUMIF($C$6:$C$370,C47,$E$6:$E$370))</f>
        <v>20 / 36</v>
      </c>
      <c r="I47" s="28" t="str">
        <f>CONCATENATE(SUMIF($D$6:$D47,D47,$E$6:$E$370)," / ",SUMIF($D$6:$D$370,D47,$E$6:$E$370))</f>
        <v>154 / 212</v>
      </c>
      <c r="J47" s="28" t="str">
        <f>CONCATENATE(SUM($E$6:$E47)," / ",SUM($E$6:$E$370))</f>
        <v>374 / 2214</v>
      </c>
      <c r="K47" s="24" t="s">
        <v>379</v>
      </c>
      <c r="L47" s="28" t="str">
        <f>CONCATENATE(SUMIF($C$6:$C47,C47,$G$6:$G$370)," / ",SUMIF($C$6:$C$370,C47,$G$6:$G$370))</f>
        <v>0 / 0</v>
      </c>
      <c r="M47" s="28" t="str">
        <f>CONCATENATE(SUMIF($D$6:$D47,D47,$G$6:$G$370)," / ",SUMIF($D$6:$D$370,D47,$G$6:$G$370))</f>
        <v>0 / 0</v>
      </c>
      <c r="N47" s="28" t="str">
        <f>CONCATENATE(SUM($G$6:$G47)," / ",SUM($G$6:$G$370))</f>
        <v>0 / 2316,5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2214</v>
      </c>
      <c r="K48" s="24"/>
      <c r="L48" s="28" t="str">
        <f>CONCATENATE(SUMIF($C$6:$C48,C48,$G$6:$G$370)," / ",SUMIF($C$6:$C$370,C48,$G$6:$G$370))</f>
        <v>0 / 0</v>
      </c>
      <c r="M48" s="28" t="str">
        <f>CONCATENATE(SUMIF($D$6:$D48,D48,$G$6:$G$370)," / ",SUMIF($D$6:$D$370,D48,$G$6:$G$370))</f>
        <v>0 / 0</v>
      </c>
      <c r="N48" s="28" t="str">
        <f>CONCATENATE(SUM($G$6:$G48)," / ",SUM($G$6:$G$370))</f>
        <v>0 / 2316,5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430</v>
      </c>
      <c r="G49" s="124"/>
      <c r="H49" s="28" t="str">
        <f>CONCATENATE(SUMIF($C$6:$C49,C49,$E$6:$E$370)," / ",SUMIF($C$6:$C$370,C49,$E$6:$E$370))</f>
        <v>36 / 36</v>
      </c>
      <c r="I49" s="28" t="str">
        <f>CONCATENATE(SUMIF($D$6:$D49,D49,$E$6:$E$370)," / ",SUMIF($D$6:$D$370,D49,$E$6:$E$370))</f>
        <v>170 / 212</v>
      </c>
      <c r="J49" s="28" t="str">
        <f>CONCATENATE(SUM($E$6:$E49)," / ",SUM($E$6:$E$370))</f>
        <v>390 / 2214</v>
      </c>
      <c r="K49" s="24" t="s">
        <v>426</v>
      </c>
      <c r="L49" s="28" t="str">
        <f>CONCATENATE(SUMIF($C$6:$C49,C49,$G$6:$G$370)," / ",SUMIF($C$6:$C$370,C49,$G$6:$G$370))</f>
        <v>0 / 0</v>
      </c>
      <c r="M49" s="28" t="str">
        <f>CONCATENATE(SUMIF($D$6:$D49,D49,$G$6:$G$370)," / ",SUMIF($D$6:$D$370,D49,$G$6:$G$370))</f>
        <v>0 / 0</v>
      </c>
      <c r="N49" s="28" t="str">
        <f>CONCATENATE(SUM($G$6:$G49)," / ",SUM($G$6:$G$370))</f>
        <v>0 / 2316,5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2214</v>
      </c>
      <c r="K50" s="24"/>
      <c r="L50" s="28" t="str">
        <f>CONCATENATE(SUMIF($C$6:$C50,C50,$G$6:$G$370)," / ",SUMIF($C$6:$C$370,C50,$G$6:$G$370))</f>
        <v>0 / 0</v>
      </c>
      <c r="M50" s="28" t="str">
        <f>CONCATENATE(SUMIF($D$6:$D50,D50,$G$6:$G$370)," / ",SUMIF($D$6:$D$370,D50,$G$6:$G$370))</f>
        <v>0 / 0</v>
      </c>
      <c r="N50" s="28" t="str">
        <f>CONCATENATE(SUM($G$6:$G50)," / ",SUM($G$6:$G$370))</f>
        <v>0 / 2316,5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2214</v>
      </c>
      <c r="K51" s="24"/>
      <c r="L51" s="28" t="str">
        <f>CONCATENATE(SUMIF($C$6:$C51,C51,$G$6:$G$370)," / ",SUMIF($C$6:$C$370,C51,$G$6:$G$370))</f>
        <v>0 / 0</v>
      </c>
      <c r="M51" s="28" t="str">
        <f>CONCATENATE(SUMIF($D$6:$D51,D51,$G$6:$G$370)," / ",SUMIF($D$6:$D$370,D51,$G$6:$G$370))</f>
        <v>0 / 0</v>
      </c>
      <c r="N51" s="28" t="str">
        <f>CONCATENATE(SUM($G$6:$G51)," / ",SUM($G$6:$G$370))</f>
        <v>0 / 2316,5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2214</v>
      </c>
      <c r="K52" s="24"/>
      <c r="L52" s="28" t="str">
        <f>CONCATENATE(SUMIF($C$6:$C52,C52,$G$6:$G$370)," / ",SUMIF($C$6:$C$370,C52,$G$6:$G$370))</f>
        <v>0 / 0</v>
      </c>
      <c r="M52" s="28" t="str">
        <f>CONCATENATE(SUMIF($D$6:$D52,D52,$G$6:$G$370)," / ",SUMIF($D$6:$D$370,D52,$G$6:$G$370))</f>
        <v>0 / 0</v>
      </c>
      <c r="N52" s="28" t="str">
        <f>CONCATENATE(SUM($G$6:$G52)," / ",SUM($G$6:$G$370))</f>
        <v>0 / 2316,5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430</v>
      </c>
      <c r="G53" s="124"/>
      <c r="H53" s="28" t="str">
        <f>CONCATENATE(SUMIF($C$6:$C53,C53,$E$6:$E$370)," / ",SUMIF($C$6:$C$370,C53,$E$6:$E$370))</f>
        <v>16 / 32</v>
      </c>
      <c r="I53" s="28" t="str">
        <f>CONCATENATE(SUMIF($D$6:$D53,D53,$E$6:$E$370)," / ",SUMIF($D$6:$D$370,D53,$E$6:$E$370))</f>
        <v>186 / 212</v>
      </c>
      <c r="J53" s="28" t="str">
        <f>CONCATENATE(SUM($E$6:$E53)," / ",SUM($E$6:$E$370))</f>
        <v>406 / 2214</v>
      </c>
      <c r="K53" s="24" t="s">
        <v>426</v>
      </c>
      <c r="L53" s="28" t="str">
        <f>CONCATENATE(SUMIF($C$6:$C53,C53,$G$6:$G$370)," / ",SUMIF($C$6:$C$370,C53,$G$6:$G$370))</f>
        <v>0 / 0</v>
      </c>
      <c r="M53" s="28" t="str">
        <f>CONCATENATE(SUMIF($D$6:$D53,D53,$G$6:$G$370)," / ",SUMIF($D$6:$D$370,D53,$G$6:$G$370))</f>
        <v>0 / 0</v>
      </c>
      <c r="N53" s="28" t="str">
        <f>CONCATENATE(SUM($G$6:$G53)," / ",SUM($G$6:$G$370))</f>
        <v>0 / 2316,5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2214</v>
      </c>
      <c r="K54" s="24"/>
      <c r="L54" s="28" t="str">
        <f>CONCATENATE(SUMIF($C$6:$C54,C54,$G$6:$G$370)," / ",SUMIF($C$6:$C$370,C54,$G$6:$G$370))</f>
        <v>0 / 0</v>
      </c>
      <c r="M54" s="28" t="str">
        <f>CONCATENATE(SUMIF($D$6:$D54,D54,$G$6:$G$370)," / ",SUMIF($D$6:$D$370,D54,$G$6:$G$370))</f>
        <v>0 / 0</v>
      </c>
      <c r="N54" s="28" t="str">
        <f>CONCATENATE(SUM($G$6:$G54)," / ",SUM($G$6:$G$370))</f>
        <v>0 / 2316,5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2214</v>
      </c>
      <c r="K55" s="24"/>
      <c r="L55" s="28" t="str">
        <f>CONCATENATE(SUMIF($C$6:$C55,C55,$G$6:$G$370)," / ",SUMIF($C$6:$C$370,C55,$G$6:$G$370))</f>
        <v>0 / 0</v>
      </c>
      <c r="M55" s="28" t="str">
        <f>CONCATENATE(SUMIF($D$6:$D55,D55,$G$6:$G$370)," / ",SUMIF($D$6:$D$370,D55,$G$6:$G$370))</f>
        <v>0 / 0</v>
      </c>
      <c r="N55" s="28" t="str">
        <f>CONCATENATE(SUM($G$6:$G55)," / ",SUM($G$6:$G$370))</f>
        <v>0 / 2316,5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431</v>
      </c>
      <c r="G56" s="124"/>
      <c r="H56" s="28" t="str">
        <f>CONCATENATE(SUMIF($C$6:$C56,C56,$E$6:$E$370)," / ",SUMIF($C$6:$C$370,C56,$E$6:$E$370))</f>
        <v>32 / 32</v>
      </c>
      <c r="I56" s="28" t="str">
        <f>CONCATENATE(SUMIF($D$6:$D56,D56,$E$6:$E$370)," / ",SUMIF($D$6:$D$370,D56,$E$6:$E$370))</f>
        <v>202 / 212</v>
      </c>
      <c r="J56" s="28" t="str">
        <f>CONCATENATE(SUM($E$6:$E56)," / ",SUM($E$6:$E$370))</f>
        <v>422 / 2214</v>
      </c>
      <c r="K56" s="24" t="s">
        <v>426</v>
      </c>
      <c r="L56" s="28" t="str">
        <f>CONCATENATE(SUMIF($C$6:$C56,C56,$G$6:$G$370)," / ",SUMIF($C$6:$C$370,C56,$G$6:$G$370))</f>
        <v>0 / 0</v>
      </c>
      <c r="M56" s="28" t="str">
        <f>CONCATENATE(SUMIF($D$6:$D56,D56,$G$6:$G$370)," / ",SUMIF($D$6:$D$370,D56,$G$6:$G$370))</f>
        <v>0 / 0</v>
      </c>
      <c r="N56" s="28" t="str">
        <f>CONCATENATE(SUM($G$6:$G56)," / ",SUM($G$6:$G$370))</f>
        <v>0 / 2316,5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2214</v>
      </c>
      <c r="K57" s="24"/>
      <c r="L57" s="28" t="str">
        <f>CONCATENATE(SUMIF($C$6:$C57,C57,$G$6:$G$370)," / ",SUMIF($C$6:$C$370,C57,$G$6:$G$370))</f>
        <v>0 / 0</v>
      </c>
      <c r="M57" s="28" t="str">
        <f>CONCATENATE(SUMIF($D$6:$D57,D57,$G$6:$G$370)," / ",SUMIF($D$6:$D$370,D57,$G$6:$G$370))</f>
        <v>0 / 0</v>
      </c>
      <c r="N57" s="28" t="str">
        <f>CONCATENATE(SUM($G$6:$G57)," / ",SUM($G$6:$G$370))</f>
        <v>0 / 2316,5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2214</v>
      </c>
      <c r="K58" s="24"/>
      <c r="L58" s="28" t="str">
        <f>CONCATENATE(SUMIF($C$6:$C58,C58,$G$6:$G$370)," / ",SUMIF($C$6:$C$370,C58,$G$6:$G$370))</f>
        <v>0 / 0</v>
      </c>
      <c r="M58" s="28" t="str">
        <f>CONCATENATE(SUMIF($D$6:$D58,D58,$G$6:$G$370)," / ",SUMIF($D$6:$D$370,D58,$G$6:$G$370))</f>
        <v>0 / 0</v>
      </c>
      <c r="N58" s="28" t="str">
        <f>CONCATENATE(SUM($G$6:$G58)," / ",SUM($G$6:$G$370))</f>
        <v>0 / 2316,5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428</v>
      </c>
      <c r="G59" s="124"/>
      <c r="H59" s="28" t="str">
        <f>CONCATENATE(SUMIF($C$6:$C59,C59,$E$6:$E$370)," / ",SUMIF($C$6:$C$370,C59,$E$6:$E$370))</f>
        <v>10 / 51</v>
      </c>
      <c r="I59" s="28" t="str">
        <f>CONCATENATE(SUMIF($D$6:$D59,D59,$E$6:$E$370)," / ",SUMIF($D$6:$D$370,D59,$E$6:$E$370))</f>
        <v>212 / 212</v>
      </c>
      <c r="J59" s="28" t="str">
        <f>CONCATENATE(SUM($E$6:$E59)," / ",SUM($E$6:$E$370))</f>
        <v>432 / 2214</v>
      </c>
      <c r="K59" s="24" t="s">
        <v>426</v>
      </c>
      <c r="L59" s="28" t="str">
        <f>CONCATENATE(SUMIF($C$6:$C59,C59,$G$6:$G$370)," / ",SUMIF($C$6:$C$370,C59,$G$6:$G$370))</f>
        <v>0 / 0</v>
      </c>
      <c r="M59" s="28" t="str">
        <f>CONCATENATE(SUMIF($D$6:$D59,D59,$G$6:$G$370)," / ",SUMIF($D$6:$D$370,D59,$G$6:$G$370))</f>
        <v>0 / 0</v>
      </c>
      <c r="N59" s="28" t="str">
        <f>CONCATENATE(SUM($G$6:$G59)," / ",SUM($G$6:$G$370))</f>
        <v>0 / 2316,5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2214</v>
      </c>
      <c r="K60" s="24"/>
      <c r="L60" s="28" t="str">
        <f>CONCATENATE(SUMIF($C$6:$C60,C60,$G$6:$G$370)," / ",SUMIF($C$6:$C$370,C60,$G$6:$G$370))</f>
        <v>0 / 0</v>
      </c>
      <c r="M60" s="28" t="str">
        <f>CONCATENATE(SUMIF($D$6:$D60,D60,$G$6:$G$370)," / ",SUMIF($D$6:$D$370,D60,$G$6:$G$370))</f>
        <v>0 / 0</v>
      </c>
      <c r="N60" s="28" t="str">
        <f>CONCATENATE(SUM($G$6:$G60)," / ",SUM($G$6:$G$370))</f>
        <v>0 / 2316,5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432</v>
      </c>
      <c r="G61" s="124"/>
      <c r="H61" s="28" t="str">
        <f>CONCATENATE(SUMIF($C$6:$C61,C61,$E$6:$E$370)," / ",SUMIF($C$6:$C$370,C61,$E$6:$E$370))</f>
        <v>30 / 51</v>
      </c>
      <c r="I61" s="28" t="str">
        <f>CONCATENATE(SUMIF($D$6:$D61,D61,$E$6:$E$370)," / ",SUMIF($D$6:$D$370,D61,$E$6:$E$370))</f>
        <v>20 / 254</v>
      </c>
      <c r="J61" s="28" t="str">
        <f>CONCATENATE(SUM($E$6:$E61)," / ",SUM($E$6:$E$370))</f>
        <v>452 / 2214</v>
      </c>
      <c r="K61" s="24" t="s">
        <v>426</v>
      </c>
      <c r="L61" s="28" t="str">
        <f>CONCATENATE(SUMIF($C$6:$C61,C61,$G$6:$G$370)," / ",SUMIF($C$6:$C$370,C61,$G$6:$G$370))</f>
        <v>0 / 0</v>
      </c>
      <c r="M61" s="28" t="str">
        <f>CONCATENATE(SUMIF($D$6:$D61,D61,$G$6:$G$370)," / ",SUMIF($D$6:$D$370,D61,$G$6:$G$370))</f>
        <v>0 / 0</v>
      </c>
      <c r="N61" s="28" t="str">
        <f>CONCATENATE(SUM($G$6:$G61)," / ",SUM($G$6:$G$370))</f>
        <v>0 / 2316,5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2214</v>
      </c>
      <c r="K62" s="24"/>
      <c r="L62" s="28" t="str">
        <f>CONCATENATE(SUMIF($C$6:$C62,C62,$G$6:$G$370)," / ",SUMIF($C$6:$C$370,C62,$G$6:$G$370))</f>
        <v>0 / 0</v>
      </c>
      <c r="M62" s="28" t="str">
        <f>CONCATENATE(SUMIF($D$6:$D62,D62,$G$6:$G$370)," / ",SUMIF($D$6:$D$370,D62,$G$6:$G$370))</f>
        <v>0 / 0</v>
      </c>
      <c r="N62" s="28" t="str">
        <f>CONCATENATE(SUM($G$6:$G62)," / ",SUM($G$6:$G$370))</f>
        <v>0 / 2316,5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432</v>
      </c>
      <c r="G63" s="124"/>
      <c r="H63" s="28" t="str">
        <f>CONCATENATE(SUMIF($C$6:$C63,C63,$E$6:$E$370)," / ",SUMIF($C$6:$C$370,C63,$E$6:$E$370))</f>
        <v>51 / 51</v>
      </c>
      <c r="I63" s="28" t="str">
        <f>CONCATENATE(SUMIF($D$6:$D63,D63,$E$6:$E$370)," / ",SUMIF($D$6:$D$370,D63,$E$6:$E$370))</f>
        <v>41 / 254</v>
      </c>
      <c r="J63" s="28" t="str">
        <f>CONCATENATE(SUM($E$6:$E63)," / ",SUM($E$6:$E$370))</f>
        <v>473 / 2214</v>
      </c>
      <c r="K63" s="24" t="s">
        <v>426</v>
      </c>
      <c r="L63" s="28" t="str">
        <f>CONCATENATE(SUMIF($C$6:$C63,C63,$G$6:$G$370)," / ",SUMIF($C$6:$C$370,C63,$G$6:$G$370))</f>
        <v>0 / 0</v>
      </c>
      <c r="M63" s="28" t="str">
        <f>CONCATENATE(SUMIF($D$6:$D63,D63,$G$6:$G$370)," / ",SUMIF($D$6:$D$370,D63,$G$6:$G$370))</f>
        <v>0 / 0</v>
      </c>
      <c r="N63" s="28" t="str">
        <f>CONCATENATE(SUM($G$6:$G63)," / ",SUM($G$6:$G$370))</f>
        <v>0 / 2316,5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2214</v>
      </c>
      <c r="K64" s="24"/>
      <c r="L64" s="28" t="str">
        <f>CONCATENATE(SUMIF($C$6:$C64,C64,$G$6:$G$370)," / ",SUMIF($C$6:$C$370,C64,$G$6:$G$370))</f>
        <v>0 / 0</v>
      </c>
      <c r="M64" s="28" t="str">
        <f>CONCATENATE(SUMIF($D$6:$D64,D64,$G$6:$G$370)," / ",SUMIF($D$6:$D$370,D64,$G$6:$G$370))</f>
        <v>0 / 0</v>
      </c>
      <c r="N64" s="28" t="str">
        <f>CONCATENATE(SUM($G$6:$G64)," / ",SUM($G$6:$G$370))</f>
        <v>0 / 2316,5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2214</v>
      </c>
      <c r="K65" s="24"/>
      <c r="L65" s="28" t="str">
        <f>CONCATENATE(SUMIF($C$6:$C65,C65,$G$6:$G$370)," / ",SUMIF($C$6:$C$370,C65,$G$6:$G$370))</f>
        <v>0 / 0</v>
      </c>
      <c r="M65" s="28" t="str">
        <f>CONCATENATE(SUMIF($D$6:$D65,D65,$G$6:$G$370)," / ",SUMIF($D$6:$D$370,D65,$G$6:$G$370))</f>
        <v>0 / 0</v>
      </c>
      <c r="N65" s="28" t="str">
        <f>CONCATENATE(SUM($G$6:$G65)," / ",SUM($G$6:$G$370))</f>
        <v>0 / 2316,5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434</v>
      </c>
      <c r="G66" s="124"/>
      <c r="H66" s="28" t="str">
        <f>CONCATENATE(SUMIF($C$6:$C66,C66,$E$6:$E$370)," / ",SUMIF($C$6:$C$370,C66,$E$6:$E$370))</f>
        <v>15 / 49</v>
      </c>
      <c r="I66" s="28" t="str">
        <f>CONCATENATE(SUMIF($D$6:$D66,D66,$E$6:$E$370)," / ",SUMIF($D$6:$D$370,D66,$E$6:$E$370))</f>
        <v>56 / 254</v>
      </c>
      <c r="J66" s="28" t="str">
        <f>CONCATENATE(SUM($E$6:$E66)," / ",SUM($E$6:$E$370))</f>
        <v>488 / 2214</v>
      </c>
      <c r="K66" s="24" t="s">
        <v>426</v>
      </c>
      <c r="L66" s="28" t="str">
        <f>CONCATENATE(SUMIF($C$6:$C66,C66,$G$6:$G$370)," / ",SUMIF($C$6:$C$370,C66,$G$6:$G$370))</f>
        <v>0 / 0</v>
      </c>
      <c r="M66" s="28" t="str">
        <f>CONCATENATE(SUMIF($D$6:$D66,D66,$G$6:$G$370)," / ",SUMIF($D$6:$D$370,D66,$G$6:$G$370))</f>
        <v>0 / 0</v>
      </c>
      <c r="N66" s="28" t="str">
        <f>CONCATENATE(SUM($G$6:$G66)," / ",SUM($G$6:$G$370))</f>
        <v>0 / 2316,5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2214</v>
      </c>
      <c r="K67" s="24"/>
      <c r="L67" s="28" t="str">
        <f>CONCATENATE(SUMIF($C$6:$C67,C67,$G$6:$G$370)," / ",SUMIF($C$6:$C$370,C67,$G$6:$G$370))</f>
        <v>0 / 0</v>
      </c>
      <c r="M67" s="28" t="str">
        <f>CONCATENATE(SUMIF($D$6:$D67,D67,$G$6:$G$370)," / ",SUMIF($D$6:$D$370,D67,$G$6:$G$370))</f>
        <v>0 / 0</v>
      </c>
      <c r="N67" s="28" t="str">
        <f>CONCATENATE(SUM($G$6:$G67)," / ",SUM($G$6:$G$370))</f>
        <v>0 / 2316,5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434</v>
      </c>
      <c r="G68" s="124"/>
      <c r="H68" s="28" t="str">
        <f>CONCATENATE(SUMIF($C$6:$C68,C68,$E$6:$E$370)," / ",SUMIF($C$6:$C$370,C68,$E$6:$E$370))</f>
        <v>27 / 49</v>
      </c>
      <c r="I68" s="28" t="str">
        <f>CONCATENATE(SUMIF($D$6:$D68,D68,$E$6:$E$370)," / ",SUMIF($D$6:$D$370,D68,$E$6:$E$370))</f>
        <v>68 / 254</v>
      </c>
      <c r="J68" s="28" t="str">
        <f>CONCATENATE(SUM($E$6:$E68)," / ",SUM($E$6:$E$370))</f>
        <v>500 / 2214</v>
      </c>
      <c r="K68" s="24" t="s">
        <v>426</v>
      </c>
      <c r="L68" s="28" t="str">
        <f>CONCATENATE(SUMIF($C$6:$C68,C68,$G$6:$G$370)," / ",SUMIF($C$6:$C$370,C68,$G$6:$G$370))</f>
        <v>0 / 0</v>
      </c>
      <c r="M68" s="28" t="str">
        <f>CONCATENATE(SUMIF($D$6:$D68,D68,$G$6:$G$370)," / ",SUMIF($D$6:$D$370,D68,$G$6:$G$370))</f>
        <v>0 / 0</v>
      </c>
      <c r="N68" s="28" t="str">
        <f>CONCATENATE(SUM($G$6:$G68)," / ",SUM($G$6:$G$370))</f>
        <v>0 / 2316,5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2214</v>
      </c>
      <c r="K69" s="24"/>
      <c r="L69" s="28" t="str">
        <f>CONCATENATE(SUMIF($C$6:$C69,C69,$G$6:$G$370)," / ",SUMIF($C$6:$C$370,C69,$G$6:$G$370))</f>
        <v>0 / 0</v>
      </c>
      <c r="M69" s="28" t="str">
        <f>CONCATENATE(SUMIF($D$6:$D69,D69,$G$6:$G$370)," / ",SUMIF($D$6:$D$370,D69,$G$6:$G$370))</f>
        <v>0 / 0</v>
      </c>
      <c r="N69" s="28" t="str">
        <f>CONCATENATE(SUM($G$6:$G69)," / ",SUM($G$6:$G$370))</f>
        <v>0 / 2316,5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433</v>
      </c>
      <c r="G70" s="124"/>
      <c r="H70" s="28" t="str">
        <f>CONCATENATE(SUMIF($C$6:$C70,C70,$E$6:$E$370)," / ",SUMIF($C$6:$C$370,C70,$E$6:$E$370))</f>
        <v>49 / 49</v>
      </c>
      <c r="I70" s="28" t="str">
        <f>CONCATENATE(SUMIF($D$6:$D70,D70,$E$6:$E$370)," / ",SUMIF($D$6:$D$370,D70,$E$6:$E$370))</f>
        <v>90 / 254</v>
      </c>
      <c r="J70" s="28" t="str">
        <f>CONCATENATE(SUM($E$6:$E70)," / ",SUM($E$6:$E$370))</f>
        <v>522 / 2214</v>
      </c>
      <c r="K70" s="24" t="s">
        <v>426</v>
      </c>
      <c r="L70" s="28" t="str">
        <f>CONCATENATE(SUMIF($C$6:$C70,C70,$G$6:$G$370)," / ",SUMIF($C$6:$C$370,C70,$G$6:$G$370))</f>
        <v>0 / 0</v>
      </c>
      <c r="M70" s="28" t="str">
        <f>CONCATENATE(SUMIF($D$6:$D70,D70,$G$6:$G$370)," / ",SUMIF($D$6:$D$370,D70,$G$6:$G$370))</f>
        <v>0 / 0</v>
      </c>
      <c r="N70" s="28" t="str">
        <f>CONCATENATE(SUM($G$6:$G70)," / ",SUM($G$6:$G$370))</f>
        <v>0 / 2316,5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2214</v>
      </c>
      <c r="K71" s="24"/>
      <c r="L71" s="28" t="str">
        <f>CONCATENATE(SUMIF($C$6:$C71,C71,$G$6:$G$370)," / ",SUMIF($C$6:$C$370,C71,$G$6:$G$370))</f>
        <v>0 / 0</v>
      </c>
      <c r="M71" s="28" t="str">
        <f>CONCATENATE(SUMIF($D$6:$D71,D71,$G$6:$G$370)," / ",SUMIF($D$6:$D$370,D71,$G$6:$G$370))</f>
        <v>0 / 0</v>
      </c>
      <c r="N71" s="28" t="str">
        <f>CONCATENATE(SUM($G$6:$G71)," / ",SUM($G$6:$G$370))</f>
        <v>0 / 2316,5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435</v>
      </c>
      <c r="G72" s="124"/>
      <c r="H72" s="28" t="str">
        <f>CONCATENATE(SUMIF($C$6:$C72,C72,$E$6:$E$370)," / ",SUMIF($C$6:$C$370,C72,$E$6:$E$370))</f>
        <v>9 / 69</v>
      </c>
      <c r="I72" s="28" t="str">
        <f>CONCATENATE(SUMIF($D$6:$D72,D72,$E$6:$E$370)," / ",SUMIF($D$6:$D$370,D72,$E$6:$E$370))</f>
        <v>99 / 254</v>
      </c>
      <c r="J72" s="28" t="str">
        <f>CONCATENATE(SUM($E$6:$E72)," / ",SUM($E$6:$E$370))</f>
        <v>531 / 2214</v>
      </c>
      <c r="K72" s="24" t="s">
        <v>379</v>
      </c>
      <c r="L72" s="28" t="str">
        <f>CONCATENATE(SUMIF($C$6:$C72,C72,$G$6:$G$370)," / ",SUMIF($C$6:$C$370,C72,$G$6:$G$370))</f>
        <v>0 / 0</v>
      </c>
      <c r="M72" s="28" t="str">
        <f>CONCATENATE(SUMIF($D$6:$D72,D72,$G$6:$G$370)," / ",SUMIF($D$6:$D$370,D72,$G$6:$G$370))</f>
        <v>0 / 0</v>
      </c>
      <c r="N72" s="28" t="str">
        <f>CONCATENATE(SUM($G$6:$G72)," / ",SUM($G$6:$G$370))</f>
        <v>0 / 2316,5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435</v>
      </c>
      <c r="G73" s="124"/>
      <c r="H73" s="28" t="str">
        <f>CONCATENATE(SUMIF($C$6:$C73,C73,$E$6:$E$370)," / ",SUMIF($C$6:$C$370,C73,$E$6:$E$370))</f>
        <v>29 / 69</v>
      </c>
      <c r="I73" s="28" t="str">
        <f>CONCATENATE(SUMIF($D$6:$D73,D73,$E$6:$E$370)," / ",SUMIF($D$6:$D$370,D73,$E$6:$E$370))</f>
        <v>119 / 254</v>
      </c>
      <c r="J73" s="28" t="str">
        <f>CONCATENATE(SUM($E$6:$E73)," / ",SUM($E$6:$E$370))</f>
        <v>551 / 2214</v>
      </c>
      <c r="K73" s="24" t="s">
        <v>379</v>
      </c>
      <c r="L73" s="28" t="str">
        <f>CONCATENATE(SUMIF($C$6:$C73,C73,$G$6:$G$370)," / ",SUMIF($C$6:$C$370,C73,$G$6:$G$370))</f>
        <v>0 / 0</v>
      </c>
      <c r="M73" s="28" t="str">
        <f>CONCATENATE(SUMIF($D$6:$D73,D73,$G$6:$G$370)," / ",SUMIF($D$6:$D$370,D73,$G$6:$G$370))</f>
        <v>0 / 0</v>
      </c>
      <c r="N73" s="28" t="str">
        <f>CONCATENATE(SUM($G$6:$G73)," / ",SUM($G$6:$G$370))</f>
        <v>0 / 2316,5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428</v>
      </c>
      <c r="G74" s="124"/>
      <c r="H74" s="28" t="str">
        <f>CONCATENATE(SUMIF($C$6:$C74,C74,$E$6:$E$370)," / ",SUMIF($C$6:$C$370,C74,$E$6:$E$370))</f>
        <v>39 / 69</v>
      </c>
      <c r="I74" s="28" t="str">
        <f>CONCATENATE(SUMIF($D$6:$D74,D74,$E$6:$E$370)," / ",SUMIF($D$6:$D$370,D74,$E$6:$E$370))</f>
        <v>129 / 254</v>
      </c>
      <c r="J74" s="28" t="str">
        <f>CONCATENATE(SUM($E$6:$E74)," / ",SUM($E$6:$E$370))</f>
        <v>561 / 2214</v>
      </c>
      <c r="K74" s="24" t="s">
        <v>379</v>
      </c>
      <c r="L74" s="28" t="str">
        <f>CONCATENATE(SUMIF($C$6:$C74,C74,$G$6:$G$370)," / ",SUMIF($C$6:$C$370,C74,$G$6:$G$370))</f>
        <v>0 / 0</v>
      </c>
      <c r="M74" s="28" t="str">
        <f>CONCATENATE(SUMIF($D$6:$D74,D74,$G$6:$G$370)," / ",SUMIF($D$6:$D$370,D74,$G$6:$G$370))</f>
        <v>0 / 0</v>
      </c>
      <c r="N74" s="28" t="str">
        <f>CONCATENATE(SUM($G$6:$G74)," / ",SUM($G$6:$G$370))</f>
        <v>0 / 2316,5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2214</v>
      </c>
      <c r="K75" s="24"/>
      <c r="L75" s="28" t="str">
        <f>CONCATENATE(SUMIF($C$6:$C75,C75,$G$6:$G$370)," / ",SUMIF($C$6:$C$370,C75,$G$6:$G$370))</f>
        <v>0 / 0</v>
      </c>
      <c r="M75" s="28" t="str">
        <f>CONCATENATE(SUMIF($D$6:$D75,D75,$G$6:$G$370)," / ",SUMIF($D$6:$D$370,D75,$G$6:$G$370))</f>
        <v>0 / 0</v>
      </c>
      <c r="N75" s="28" t="str">
        <f>CONCATENATE(SUM($G$6:$G75)," / ",SUM($G$6:$G$370))</f>
        <v>0 / 2316,5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437</v>
      </c>
      <c r="G76" s="124"/>
      <c r="H76" s="28" t="str">
        <f>CONCATENATE(SUMIF($C$6:$C76,C76,$E$6:$E$370)," / ",SUMIF($C$6:$C$370,C76,$E$6:$E$370))</f>
        <v>69 / 69</v>
      </c>
      <c r="I76" s="28" t="str">
        <f>CONCATENATE(SUMIF($D$6:$D76,D76,$E$6:$E$370)," / ",SUMIF($D$6:$D$370,D76,$E$6:$E$370))</f>
        <v>159 / 254</v>
      </c>
      <c r="J76" s="28" t="str">
        <f>CONCATENATE(SUM($E$6:$E76)," / ",SUM($E$6:$E$370))</f>
        <v>591 / 2214</v>
      </c>
      <c r="K76" s="24" t="s">
        <v>379</v>
      </c>
      <c r="L76" s="28" t="str">
        <f>CONCATENATE(SUMIF($C$6:$C76,C76,$G$6:$G$370)," / ",SUMIF($C$6:$C$370,C76,$G$6:$G$370))</f>
        <v>0 / 0</v>
      </c>
      <c r="M76" s="28" t="str">
        <f>CONCATENATE(SUMIF($D$6:$D76,D76,$G$6:$G$370)," / ",SUMIF($D$6:$D$370,D76,$G$6:$G$370))</f>
        <v>0 / 0</v>
      </c>
      <c r="N76" s="28" t="str">
        <f>CONCATENATE(SUM($G$6:$G76)," / ",SUM($G$6:$G$370))</f>
        <v>0 / 2316,5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2214</v>
      </c>
      <c r="K77" s="24"/>
      <c r="L77" s="28" t="str">
        <f>CONCATENATE(SUMIF($C$6:$C77,C77,$G$6:$G$370)," / ",SUMIF($C$6:$C$370,C77,$G$6:$G$370))</f>
        <v>0 / 0</v>
      </c>
      <c r="M77" s="28" t="str">
        <f>CONCATENATE(SUMIF($D$6:$D77,D77,$G$6:$G$370)," / ",SUMIF($D$6:$D$370,D77,$G$6:$G$370))</f>
        <v>0 / 0</v>
      </c>
      <c r="N77" s="28" t="str">
        <f>CONCATENATE(SUM($G$6:$G77)," / ",SUM($G$6:$G$370))</f>
        <v>0 / 2316,5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2214</v>
      </c>
      <c r="K78" s="24"/>
      <c r="L78" s="28" t="str">
        <f>CONCATENATE(SUMIF($C$6:$C78,C78,$G$6:$G$370)," / ",SUMIF($C$6:$C$370,C78,$G$6:$G$370))</f>
        <v>0 / 0</v>
      </c>
      <c r="M78" s="28" t="str">
        <f>CONCATENATE(SUMIF($D$6:$D78,D78,$G$6:$G$370)," / ",SUMIF($D$6:$D$370,D78,$G$6:$G$370))</f>
        <v>0 / 0</v>
      </c>
      <c r="N78" s="28" t="str">
        <f>CONCATENATE(SUM($G$6:$G78)," / ",SUM($G$6:$G$370))</f>
        <v>0 / 2316,5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2214</v>
      </c>
      <c r="K79" s="24"/>
      <c r="L79" s="28" t="str">
        <f>CONCATENATE(SUMIF($C$6:$C79,C79,$G$6:$G$370)," / ",SUMIF($C$6:$C$370,C79,$G$6:$G$370))</f>
        <v>0 / 0</v>
      </c>
      <c r="M79" s="28" t="str">
        <f>CONCATENATE(SUMIF($D$6:$D79,D79,$G$6:$G$370)," / ",SUMIF($D$6:$D$370,D79,$G$6:$G$370))</f>
        <v>0 / 0</v>
      </c>
      <c r="N79" s="28" t="str">
        <f>CONCATENATE(SUM($G$6:$G79)," / ",SUM($G$6:$G$370))</f>
        <v>0 / 2316,5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2214</v>
      </c>
      <c r="K80" s="24"/>
      <c r="L80" s="28" t="str">
        <f>CONCATENATE(SUMIF($C$6:$C80,C80,$G$6:$G$370)," / ",SUMIF($C$6:$C$370,C80,$G$6:$G$370))</f>
        <v>0 / 0</v>
      </c>
      <c r="M80" s="28" t="str">
        <f>CONCATENATE(SUMIF($D$6:$D80,D80,$G$6:$G$370)," / ",SUMIF($D$6:$D$370,D80,$G$6:$G$370))</f>
        <v>0 / 0</v>
      </c>
      <c r="N80" s="28" t="str">
        <f>CONCATENATE(SUM($G$6:$G80)," / ",SUM($G$6:$G$370))</f>
        <v>0 / 2316,5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439</v>
      </c>
      <c r="G81" s="124"/>
      <c r="H81" s="28" t="str">
        <f>CONCATENATE(SUMIF($C$6:$C81,C81,$E$6:$E$370)," / ",SUMIF($C$6:$C$370,C81,$E$6:$E$370))</f>
        <v>10 / 25</v>
      </c>
      <c r="I81" s="28" t="str">
        <f>CONCATENATE(SUMIF($D$6:$D81,D81,$E$6:$E$370)," / ",SUMIF($D$6:$D$370,D81,$E$6:$E$370))</f>
        <v>169 / 254</v>
      </c>
      <c r="J81" s="28" t="str">
        <f>CONCATENATE(SUM($E$6:$E81)," / ",SUM($E$6:$E$370))</f>
        <v>601 / 2214</v>
      </c>
      <c r="K81" s="24" t="s">
        <v>379</v>
      </c>
      <c r="L81" s="28" t="str">
        <f>CONCATENATE(SUMIF($C$6:$C81,C81,$G$6:$G$370)," / ",SUMIF($C$6:$C$370,C81,$G$6:$G$370))</f>
        <v>0 / 0</v>
      </c>
      <c r="M81" s="28" t="str">
        <f>CONCATENATE(SUMIF($D$6:$D81,D81,$G$6:$G$370)," / ",SUMIF($D$6:$D$370,D81,$G$6:$G$370))</f>
        <v>0 / 0</v>
      </c>
      <c r="N81" s="28" t="str">
        <f>CONCATENATE(SUM($G$6:$G81)," / ",SUM($G$6:$G$370))</f>
        <v>0 / 2316,5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2214</v>
      </c>
      <c r="K82" s="24"/>
      <c r="L82" s="28" t="str">
        <f>CONCATENATE(SUMIF($C$6:$C82,C82,$G$6:$G$370)," / ",SUMIF($C$6:$C$370,C82,$G$6:$G$370))</f>
        <v>0 / 0</v>
      </c>
      <c r="M82" s="28" t="str">
        <f>CONCATENATE(SUMIF($D$6:$D82,D82,$G$6:$G$370)," / ",SUMIF($D$6:$D$370,D82,$G$6:$G$370))</f>
        <v>0 / 0</v>
      </c>
      <c r="N82" s="28" t="str">
        <f>CONCATENATE(SUM($G$6:$G82)," / ",SUM($G$6:$G$370))</f>
        <v>0 / 2316,5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2214</v>
      </c>
      <c r="K83" s="24"/>
      <c r="L83" s="28" t="str">
        <f>CONCATENATE(SUMIF($C$6:$C83,C83,$G$6:$G$370)," / ",SUMIF($C$6:$C$370,C83,$G$6:$G$370))</f>
        <v>0 / 0</v>
      </c>
      <c r="M83" s="28" t="str">
        <f>CONCATENATE(SUMIF($D$6:$D83,D83,$G$6:$G$370)," / ",SUMIF($D$6:$D$370,D83,$G$6:$G$370))</f>
        <v>0 / 0</v>
      </c>
      <c r="N83" s="28" t="str">
        <f>CONCATENATE(SUM($G$6:$G83)," / ",SUM($G$6:$G$370))</f>
        <v>0 / 2316,5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438</v>
      </c>
      <c r="G84" s="124"/>
      <c r="H84" s="28" t="str">
        <f>CONCATENATE(SUMIF($C$6:$C84,C84,$E$6:$E$370)," / ",SUMIF($C$6:$C$370,C84,$E$6:$E$370))</f>
        <v>25 / 25</v>
      </c>
      <c r="I84" s="28" t="str">
        <f>CONCATENATE(SUMIF($D$6:$D84,D84,$E$6:$E$370)," / ",SUMIF($D$6:$D$370,D84,$E$6:$E$370))</f>
        <v>184 / 254</v>
      </c>
      <c r="J84" s="28" t="str">
        <f>CONCATENATE(SUM($E$6:$E84)," / ",SUM($E$6:$E$370))</f>
        <v>616 / 2214</v>
      </c>
      <c r="K84" s="24" t="s">
        <v>426</v>
      </c>
      <c r="L84" s="28" t="str">
        <f>CONCATENATE(SUMIF($C$6:$C84,C84,$G$6:$G$370)," / ",SUMIF($C$6:$C$370,C84,$G$6:$G$370))</f>
        <v>0 / 0</v>
      </c>
      <c r="M84" s="28" t="str">
        <f>CONCATENATE(SUMIF($D$6:$D84,D84,$G$6:$G$370)," / ",SUMIF($D$6:$D$370,D84,$G$6:$G$370))</f>
        <v>0 / 0</v>
      </c>
      <c r="N84" s="28" t="str">
        <f>CONCATENATE(SUM($G$6:$G84)," / ",SUM($G$6:$G$370))</f>
        <v>0 / 2316,5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2214</v>
      </c>
      <c r="K85" s="24"/>
      <c r="L85" s="28" t="str">
        <f>CONCATENATE(SUMIF($C$6:$C85,C85,$G$6:$G$370)," / ",SUMIF($C$6:$C$370,C85,$G$6:$G$370))</f>
        <v>0 / 0</v>
      </c>
      <c r="M85" s="28" t="str">
        <f>CONCATENATE(SUMIF($D$6:$D85,D85,$G$6:$G$370)," / ",SUMIF($D$6:$D$370,D85,$G$6:$G$370))</f>
        <v>0 / 0</v>
      </c>
      <c r="N85" s="28" t="str">
        <f>CONCATENATE(SUM($G$6:$G85)," / ",SUM($G$6:$G$370))</f>
        <v>0 / 2316,5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440</v>
      </c>
      <c r="G86" s="124"/>
      <c r="H86" s="28" t="str">
        <f>CONCATENATE(SUMIF($C$6:$C86,C86,$E$6:$E$370)," / ",SUMIF($C$6:$C$370,C86,$E$6:$E$370))</f>
        <v>10 / 78</v>
      </c>
      <c r="I86" s="28" t="str">
        <f>CONCATENATE(SUMIF($D$6:$D86,D86,$E$6:$E$370)," / ",SUMIF($D$6:$D$370,D86,$E$6:$E$370))</f>
        <v>194 / 254</v>
      </c>
      <c r="J86" s="28" t="str">
        <f>CONCATENATE(SUM($E$6:$E86)," / ",SUM($E$6:$E$370))</f>
        <v>626 / 2214</v>
      </c>
      <c r="K86" s="24" t="s">
        <v>379</v>
      </c>
      <c r="L86" s="28" t="str">
        <f>CONCATENATE(SUMIF($C$6:$C86,C86,$G$6:$G$370)," / ",SUMIF($C$6:$C$370,C86,$G$6:$G$370))</f>
        <v>0 / 0</v>
      </c>
      <c r="M86" s="28" t="str">
        <f>CONCATENATE(SUMIF($D$6:$D86,D86,$G$6:$G$370)," / ",SUMIF($D$6:$D$370,D86,$G$6:$G$370))</f>
        <v>0 / 0</v>
      </c>
      <c r="N86" s="28" t="str">
        <f>CONCATENATE(SUM($G$6:$G86)," / ",SUM($G$6:$G$370))</f>
        <v>0 / 2316,5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2214</v>
      </c>
      <c r="K87" s="24"/>
      <c r="L87" s="28" t="str">
        <f>CONCATENATE(SUMIF($C$6:$C87,C87,$G$6:$G$370)," / ",SUMIF($C$6:$C$370,C87,$G$6:$G$370))</f>
        <v>0 / 0</v>
      </c>
      <c r="M87" s="28" t="str">
        <f>CONCATENATE(SUMIF($D$6:$D87,D87,$G$6:$G$370)," / ",SUMIF($D$6:$D$370,D87,$G$6:$G$370))</f>
        <v>0 / 0</v>
      </c>
      <c r="N87" s="28" t="str">
        <f>CONCATENATE(SUM($G$6:$G87)," / ",SUM($G$6:$G$370))</f>
        <v>0 / 2316,5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442</v>
      </c>
      <c r="G88" s="124"/>
      <c r="H88" s="28" t="str">
        <f>CONCATENATE(SUMIF($C$6:$C88,C88,$E$6:$E$370)," / ",SUMIF($C$6:$C$370,C88,$E$6:$E$370))</f>
        <v>26 / 78</v>
      </c>
      <c r="I88" s="28" t="str">
        <f>CONCATENATE(SUMIF($D$6:$D88,D88,$E$6:$E$370)," / ",SUMIF($D$6:$D$370,D88,$E$6:$E$370))</f>
        <v>210 / 254</v>
      </c>
      <c r="J88" s="28" t="str">
        <f>CONCATENATE(SUM($E$6:$E88)," / ",SUM($E$6:$E$370))</f>
        <v>642 / 2214</v>
      </c>
      <c r="K88" s="24" t="s">
        <v>426</v>
      </c>
      <c r="L88" s="28" t="str">
        <f>CONCATENATE(SUMIF($C$6:$C88,C88,$G$6:$G$370)," / ",SUMIF($C$6:$C$370,C88,$G$6:$G$370))</f>
        <v>0 / 0</v>
      </c>
      <c r="M88" s="28" t="str">
        <f>CONCATENATE(SUMIF($D$6:$D88,D88,$G$6:$G$370)," / ",SUMIF($D$6:$D$370,D88,$G$6:$G$370))</f>
        <v>0 / 0</v>
      </c>
      <c r="N88" s="28" t="str">
        <f>CONCATENATE(SUM($G$6:$G88)," / ",SUM($G$6:$G$370))</f>
        <v>0 / 2316,5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441</v>
      </c>
      <c r="G89" s="124"/>
      <c r="H89" s="28" t="str">
        <f>CONCATENATE(SUMIF($C$6:$C89,C89,$E$6:$E$370)," / ",SUMIF($C$6:$C$370,C89,$E$6:$E$370))</f>
        <v>46 / 78</v>
      </c>
      <c r="I89" s="28" t="str">
        <f>CONCATENATE(SUMIF($D$6:$D89,D89,$E$6:$E$370)," / ",SUMIF($D$6:$D$370,D89,$E$6:$E$370))</f>
        <v>230 / 254</v>
      </c>
      <c r="J89" s="28" t="str">
        <f>CONCATENATE(SUM($E$6:$E89)," / ",SUM($E$6:$E$370))</f>
        <v>662 / 2214</v>
      </c>
      <c r="K89" s="24" t="s">
        <v>426</v>
      </c>
      <c r="L89" s="28" t="str">
        <f>CONCATENATE(SUMIF($C$6:$C89,C89,$G$6:$G$370)," / ",SUMIF($C$6:$C$370,C89,$G$6:$G$370))</f>
        <v>0 / 0</v>
      </c>
      <c r="M89" s="28" t="str">
        <f>CONCATENATE(SUMIF($D$6:$D89,D89,$G$6:$G$370)," / ",SUMIF($D$6:$D$370,D89,$G$6:$G$370))</f>
        <v>0 / 0</v>
      </c>
      <c r="N89" s="28" t="str">
        <f>CONCATENATE(SUM($G$6:$G89)," / ",SUM($G$6:$G$370))</f>
        <v>0 / 2316,5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444</v>
      </c>
      <c r="G90" s="124"/>
      <c r="H90" s="28" t="str">
        <f>CONCATENATE(SUMIF($C$6:$C90,C90,$E$6:$E$370)," / ",SUMIF($C$6:$C$370,C90,$E$6:$E$370))</f>
        <v>70 / 78</v>
      </c>
      <c r="I90" s="28" t="str">
        <f>CONCATENATE(SUMIF($D$6:$D90,D90,$E$6:$E$370)," / ",SUMIF($D$6:$D$370,D90,$E$6:$E$370))</f>
        <v>254 / 254</v>
      </c>
      <c r="J90" s="28" t="str">
        <f>CONCATENATE(SUM($E$6:$E90)," / ",SUM($E$6:$E$370))</f>
        <v>686 / 2214</v>
      </c>
      <c r="K90" s="24" t="s">
        <v>379</v>
      </c>
      <c r="L90" s="28" t="str">
        <f>CONCATENATE(SUMIF($C$6:$C90,C90,$G$6:$G$370)," / ",SUMIF($C$6:$C$370,C90,$G$6:$G$370))</f>
        <v>0 / 0</v>
      </c>
      <c r="M90" s="28" t="str">
        <f>CONCATENATE(SUMIF($D$6:$D90,D90,$G$6:$G$370)," / ",SUMIF($D$6:$D$370,D90,$G$6:$G$370))</f>
        <v>0 / 0</v>
      </c>
      <c r="N90" s="28" t="str">
        <f>CONCATENATE(SUM($G$6:$G90)," / ",SUM($G$6:$G$370))</f>
        <v>0 / 2316,5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2214</v>
      </c>
      <c r="K91" s="24"/>
      <c r="L91" s="28" t="str">
        <f>CONCATENATE(SUMIF($C$6:$C91,C91,$G$6:$G$370)," / ",SUMIF($C$6:$C$370,C91,$G$6:$G$370))</f>
        <v>0 / 0</v>
      </c>
      <c r="M91" s="28" t="str">
        <f>CONCATENATE(SUMIF($D$6:$D91,D91,$G$6:$G$370)," / ",SUMIF($D$6:$D$370,D91,$G$6:$G$370))</f>
        <v>0 / 100</v>
      </c>
      <c r="N91" s="28" t="str">
        <f>CONCATENATE(SUM($G$6:$G91)," / ",SUM($G$6:$G$370))</f>
        <v>0 / 2316,5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445</v>
      </c>
      <c r="G92" s="124"/>
      <c r="H92" s="28" t="str">
        <f>CONCATENATE(SUMIF($C$6:$C92,C92,$E$6:$E$370)," / ",SUMIF($C$6:$C$370,C92,$E$6:$E$370))</f>
        <v>78 / 78</v>
      </c>
      <c r="I92" s="28" t="str">
        <f>CONCATENATE(SUMIF($D$6:$D92,D92,$E$6:$E$370)," / ",SUMIF($D$6:$D$370,D92,$E$6:$E$370))</f>
        <v>8 / 213</v>
      </c>
      <c r="J92" s="28" t="str">
        <f>CONCATENATE(SUM($E$6:$E92)," / ",SUM($E$6:$E$370))</f>
        <v>694 / 2214</v>
      </c>
      <c r="K92" s="24" t="s">
        <v>379</v>
      </c>
      <c r="L92" s="28" t="str">
        <f>CONCATENATE(SUMIF($C$6:$C92,C92,$G$6:$G$370)," / ",SUMIF($C$6:$C$370,C92,$G$6:$G$370))</f>
        <v>0 / 0</v>
      </c>
      <c r="M92" s="28" t="str">
        <f>CONCATENATE(SUMIF($D$6:$D92,D92,$G$6:$G$370)," / ",SUMIF($D$6:$D$370,D92,$G$6:$G$370))</f>
        <v>0 / 100</v>
      </c>
      <c r="N92" s="28" t="str">
        <f>CONCATENATE(SUM($G$6:$G92)," / ",SUM($G$6:$G$370))</f>
        <v>0 / 2316,5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446</v>
      </c>
      <c r="G93" s="124"/>
      <c r="H93" s="28" t="str">
        <f>CONCATENATE(SUMIF($C$6:$C93,C93,$E$6:$E$370)," / ",SUMIF($C$6:$C$370,C93,$E$6:$E$370))</f>
        <v>24 / 107</v>
      </c>
      <c r="I93" s="28" t="str">
        <f>CONCATENATE(SUMIF($D$6:$D93,D93,$E$6:$E$370)," / ",SUMIF($D$6:$D$370,D93,$E$6:$E$370))</f>
        <v>32 / 213</v>
      </c>
      <c r="J93" s="28" t="str">
        <f>CONCATENATE(SUM($E$6:$E93)," / ",SUM($E$6:$E$370))</f>
        <v>718 / 2214</v>
      </c>
      <c r="K93" s="24" t="s">
        <v>426</v>
      </c>
      <c r="L93" s="28" t="str">
        <f>CONCATENATE(SUMIF($C$6:$C93,C93,$G$6:$G$370)," / ",SUMIF($C$6:$C$370,C93,$G$6:$G$370))</f>
        <v>0 / 30</v>
      </c>
      <c r="M93" s="28" t="str">
        <f>CONCATENATE(SUMIF($D$6:$D93,D93,$G$6:$G$370)," / ",SUMIF($D$6:$D$370,D93,$G$6:$G$370))</f>
        <v>0 / 100</v>
      </c>
      <c r="N93" s="28" t="str">
        <f>CONCATENATE(SUM($G$6:$G93)," / ",SUM($G$6:$G$370))</f>
        <v>0 / 2316,5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456</v>
      </c>
      <c r="G94" s="124"/>
      <c r="H94" s="28" t="str">
        <f>CONCATENATE(SUMIF($C$6:$C94,C94,$E$6:$E$370)," / ",SUMIF($C$6:$C$370,C94,$E$6:$E$370))</f>
        <v>48 / 107</v>
      </c>
      <c r="I94" s="28" t="str">
        <f>CONCATENATE(SUMIF($D$6:$D94,D94,$E$6:$E$370)," / ",SUMIF($D$6:$D$370,D94,$E$6:$E$370))</f>
        <v>56 / 213</v>
      </c>
      <c r="J94" s="28" t="str">
        <f>CONCATENATE(SUM($E$6:$E94)," / ",SUM($E$6:$E$370))</f>
        <v>742 / 2214</v>
      </c>
      <c r="K94" s="24" t="s">
        <v>426</v>
      </c>
      <c r="L94" s="28" t="str">
        <f>CONCATENATE(SUMIF($C$6:$C94,C94,$G$6:$G$370)," / ",SUMIF($C$6:$C$370,C94,$G$6:$G$370))</f>
        <v>0 / 30</v>
      </c>
      <c r="M94" s="28" t="str">
        <f>CONCATENATE(SUMIF($D$6:$D94,D94,$G$6:$G$370)," / ",SUMIF($D$6:$D$370,D94,$G$6:$G$370))</f>
        <v>0 / 100</v>
      </c>
      <c r="N94" s="28" t="str">
        <f>CONCATENATE(SUM($G$6:$G94)," / ",SUM($G$6:$G$370))</f>
        <v>0 / 2316,5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457</v>
      </c>
      <c r="G95" s="124"/>
      <c r="H95" s="28" t="str">
        <f>CONCATENATE(SUMIF($C$6:$C95,C95,$E$6:$E$370)," / ",SUMIF($C$6:$C$370,C95,$E$6:$E$370))</f>
        <v>60 / 107</v>
      </c>
      <c r="I95" s="28" t="str">
        <f>CONCATENATE(SUMIF($D$6:$D95,D95,$E$6:$E$370)," / ",SUMIF($D$6:$D$370,D95,$E$6:$E$370))</f>
        <v>68 / 213</v>
      </c>
      <c r="J95" s="28" t="str">
        <f>CONCATENATE(SUM($E$6:$E95)," / ",SUM($E$6:$E$370))</f>
        <v>754 / 2214</v>
      </c>
      <c r="K95" s="24" t="s">
        <v>379</v>
      </c>
      <c r="L95" s="28" t="str">
        <f>CONCATENATE(SUMIF($C$6:$C95,C95,$G$6:$G$370)," / ",SUMIF($C$6:$C$370,C95,$G$6:$G$370))</f>
        <v>0 / 30</v>
      </c>
      <c r="M95" s="28" t="str">
        <f>CONCATENATE(SUMIF($D$6:$D95,D95,$G$6:$G$370)," / ",SUMIF($D$6:$D$370,D95,$G$6:$G$370))</f>
        <v>0 / 100</v>
      </c>
      <c r="N95" s="28" t="str">
        <f>CONCATENATE(SUM($G$6:$G95)," / ",SUM($G$6:$G$370))</f>
        <v>0 / 2316,5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455</v>
      </c>
      <c r="G96" s="124"/>
      <c r="H96" s="28" t="str">
        <f>CONCATENATE(SUMIF($C$6:$C96,C96,$E$6:$E$370)," / ",SUMIF($C$6:$C$370,C96,$E$6:$E$370))</f>
        <v>84 / 107</v>
      </c>
      <c r="I96" s="28" t="str">
        <f>CONCATENATE(SUMIF($D$6:$D96,D96,$E$6:$E$370)," / ",SUMIF($D$6:$D$370,D96,$E$6:$E$370))</f>
        <v>92 / 213</v>
      </c>
      <c r="J96" s="28" t="str">
        <f>CONCATENATE(SUM($E$6:$E96)," / ",SUM($E$6:$E$370))</f>
        <v>778 / 2214</v>
      </c>
      <c r="K96" s="24" t="s">
        <v>426</v>
      </c>
      <c r="L96" s="28" t="str">
        <f>CONCATENATE(SUMIF($C$6:$C96,C96,$G$6:$G$370)," / ",SUMIF($C$6:$C$370,C96,$G$6:$G$370))</f>
        <v>0 / 30</v>
      </c>
      <c r="M96" s="28" t="str">
        <f>CONCATENATE(SUMIF($D$6:$D96,D96,$G$6:$G$370)," / ",SUMIF($D$6:$D$370,D96,$G$6:$G$370))</f>
        <v>0 / 100</v>
      </c>
      <c r="N96" s="28" t="str">
        <f>CONCATENATE(SUM($G$6:$G96)," / ",SUM($G$6:$G$370))</f>
        <v>0 / 2316,5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2214</v>
      </c>
      <c r="K97" s="24"/>
      <c r="L97" s="28" t="str">
        <f>CONCATENATE(SUMIF($C$6:$C97,C97,$G$6:$G$370)," / ",SUMIF($C$6:$C$370,C97,$G$6:$G$370))</f>
        <v>0 / 30</v>
      </c>
      <c r="M97" s="28" t="str">
        <f>CONCATENATE(SUMIF($D$6:$D97,D97,$G$6:$G$370)," / ",SUMIF($D$6:$D$370,D97,$G$6:$G$370))</f>
        <v>0 / 100</v>
      </c>
      <c r="N97" s="28" t="str">
        <f>CONCATENATE(SUM($G$6:$G97)," / ",SUM($G$6:$G$370))</f>
        <v>0 / 2316,5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458</v>
      </c>
      <c r="G98" s="124">
        <v>30</v>
      </c>
      <c r="H98" s="28" t="str">
        <f>CONCATENATE(SUMIF($C$6:$C98,C98,$E$6:$E$370)," / ",SUMIF($C$6:$C$370,C98,$E$6:$E$370))</f>
        <v>84 / 107</v>
      </c>
      <c r="I98" s="28" t="str">
        <f>CONCATENATE(SUMIF($D$6:$D98,D98,$E$6:$E$370)," / ",SUMIF($D$6:$D$370,D98,$E$6:$E$370))</f>
        <v>92 / 213</v>
      </c>
      <c r="J98" s="28" t="str">
        <f>CONCATENATE(SUM($E$6:$E98)," / ",SUM($E$6:$E$370))</f>
        <v>778 / 2214</v>
      </c>
      <c r="K98" s="24"/>
      <c r="L98" s="28" t="str">
        <f>CONCATENATE(SUMIF($C$6:$C98,C98,$G$6:$G$370)," / ",SUMIF($C$6:$C$370,C98,$G$6:$G$370))</f>
        <v>30 / 30</v>
      </c>
      <c r="M98" s="28" t="str">
        <f>CONCATENATE(SUMIF($D$6:$D98,D98,$G$6:$G$370)," / ",SUMIF($D$6:$D$370,D98,$G$6:$G$370))</f>
        <v>30 / 100</v>
      </c>
      <c r="N98" s="28" t="str">
        <f>CONCATENATE(SUM($G$6:$G98)," / ",SUM($G$6:$G$370))</f>
        <v>30 / 2316,5</v>
      </c>
      <c r="O98" s="24" t="s">
        <v>488</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459</v>
      </c>
      <c r="G99" s="124"/>
      <c r="H99" s="28" t="str">
        <f>CONCATENATE(SUMIF($C$6:$C99,C99,$E$6:$E$370)," / ",SUMIF($C$6:$C$370,C99,$E$6:$E$370))</f>
        <v>107 / 107</v>
      </c>
      <c r="I99" s="28" t="str">
        <f>CONCATENATE(SUMIF($D$6:$D99,D99,$E$6:$E$370)," / ",SUMIF($D$6:$D$370,D99,$E$6:$E$370))</f>
        <v>115 / 213</v>
      </c>
      <c r="J99" s="28" t="str">
        <f>CONCATENATE(SUM($E$6:$E99)," / ",SUM($E$6:$E$370))</f>
        <v>801 / 2214</v>
      </c>
      <c r="K99" s="24" t="s">
        <v>426</v>
      </c>
      <c r="L99" s="28" t="str">
        <f>CONCATENATE(SUMIF($C$6:$C99,C99,$G$6:$G$370)," / ",SUMIF($C$6:$C$370,C99,$G$6:$G$370))</f>
        <v>30 / 30</v>
      </c>
      <c r="M99" s="28" t="str">
        <f>CONCATENATE(SUMIF($D$6:$D99,D99,$G$6:$G$370)," / ",SUMIF($D$6:$D$370,D99,$G$6:$G$370))</f>
        <v>30 / 100</v>
      </c>
      <c r="N99" s="28" t="str">
        <f>CONCATENATE(SUM($G$6:$G99)," / ",SUM($G$6:$G$370))</f>
        <v>30 / 2316,5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458</v>
      </c>
      <c r="G100" s="124">
        <v>30</v>
      </c>
      <c r="H100" s="28" t="str">
        <f>CONCATENATE(SUMIF($C$6:$C100,C100,$E$6:$E$370)," / ",SUMIF($C$6:$C$370,C100,$E$6:$E$370))</f>
        <v>0 / 64</v>
      </c>
      <c r="I100" s="28" t="str">
        <f>CONCATENATE(SUMIF($D$6:$D100,D100,$E$6:$E$370)," / ",SUMIF($D$6:$D$370,D100,$E$6:$E$370))</f>
        <v>115 / 213</v>
      </c>
      <c r="J100" s="28" t="str">
        <f>CONCATENATE(SUM($E$6:$E100)," / ",SUM($E$6:$E$370))</f>
        <v>801 / 2214</v>
      </c>
      <c r="K100" s="24"/>
      <c r="L100" s="28" t="str">
        <f>CONCATENATE(SUMIF($C$6:$C100,C100,$G$6:$G$370)," / ",SUMIF($C$6:$C$370,C100,$G$6:$G$370))</f>
        <v>30 / 30</v>
      </c>
      <c r="M100" s="28" t="str">
        <f>CONCATENATE(SUMIF($D$6:$D100,D100,$G$6:$G$370)," / ",SUMIF($D$6:$D$370,D100,$G$6:$G$370))</f>
        <v>60 / 100</v>
      </c>
      <c r="N100" s="28" t="str">
        <f>CONCATENATE(SUM($G$6:$G100)," / ",SUM($G$6:$G$370))</f>
        <v>60 / 2316,5</v>
      </c>
      <c r="O100" s="24" t="s">
        <v>488</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460</v>
      </c>
      <c r="G101" s="124"/>
      <c r="H101" s="28" t="str">
        <f>CONCATENATE(SUMIF($C$6:$C101,C101,$E$6:$E$370)," / ",SUMIF($C$6:$C$370,C101,$E$6:$E$370))</f>
        <v>5 / 64</v>
      </c>
      <c r="I101" s="28" t="str">
        <f>CONCATENATE(SUMIF($D$6:$D101,D101,$E$6:$E$370)," / ",SUMIF($D$6:$D$370,D101,$E$6:$E$370))</f>
        <v>120 / 213</v>
      </c>
      <c r="J101" s="28" t="str">
        <f>CONCATENATE(SUM($E$6:$E101)," / ",SUM($E$6:$E$370))</f>
        <v>806 / 2214</v>
      </c>
      <c r="K101" s="24" t="s">
        <v>426</v>
      </c>
      <c r="L101" s="28" t="str">
        <f>CONCATENATE(SUMIF($C$6:$C101,C101,$G$6:$G$370)," / ",SUMIF($C$6:$C$370,C101,$G$6:$G$370))</f>
        <v>30 / 30</v>
      </c>
      <c r="M101" s="28" t="str">
        <f>CONCATENATE(SUMIF($D$6:$D101,D101,$G$6:$G$370)," / ",SUMIF($D$6:$D$370,D101,$G$6:$G$370))</f>
        <v>60 / 100</v>
      </c>
      <c r="N101" s="28" t="str">
        <f>CONCATENATE(SUM($G$6:$G101)," / ",SUM($G$6:$G$370))</f>
        <v>60 / 2316,5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461</v>
      </c>
      <c r="G102" s="124"/>
      <c r="H102" s="28" t="str">
        <f>CONCATENATE(SUMIF($C$6:$C102,C102,$E$6:$E$370)," / ",SUMIF($C$6:$C$370,C102,$E$6:$E$370))</f>
        <v>29 / 64</v>
      </c>
      <c r="I102" s="28" t="str">
        <f>CONCATENATE(SUMIF($D$6:$D102,D102,$E$6:$E$370)," / ",SUMIF($D$6:$D$370,D102,$E$6:$E$370))</f>
        <v>144 / 213</v>
      </c>
      <c r="J102" s="28" t="str">
        <f>CONCATENATE(SUM($E$6:$E102)," / ",SUM($E$6:$E$370))</f>
        <v>830 / 2214</v>
      </c>
      <c r="K102" s="24" t="s">
        <v>426</v>
      </c>
      <c r="L102" s="28" t="str">
        <f>CONCATENATE(SUMIF($C$6:$C102,C102,$G$6:$G$370)," / ",SUMIF($C$6:$C$370,C102,$G$6:$G$370))</f>
        <v>30 / 30</v>
      </c>
      <c r="M102" s="28" t="str">
        <f>CONCATENATE(SUMIF($D$6:$D102,D102,$G$6:$G$370)," / ",SUMIF($D$6:$D$370,D102,$G$6:$G$370))</f>
        <v>60 / 100</v>
      </c>
      <c r="N102" s="28" t="str">
        <f>CONCATENATE(SUM($G$6:$G102)," / ",SUM($G$6:$G$370))</f>
        <v>60 / 2316,5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2214</v>
      </c>
      <c r="K103" s="24"/>
      <c r="L103" s="28" t="str">
        <f>CONCATENATE(SUMIF($C$6:$C103,C103,$G$6:$G$370)," / ",SUMIF($C$6:$C$370,C103,$G$6:$G$370))</f>
        <v>30 / 30</v>
      </c>
      <c r="M103" s="28" t="str">
        <f>CONCATENATE(SUMIF($D$6:$D103,D103,$G$6:$G$370)," / ",SUMIF($D$6:$D$370,D103,$G$6:$G$370))</f>
        <v>60 / 100</v>
      </c>
      <c r="N103" s="28" t="str">
        <f>CONCATENATE(SUM($G$6:$G103)," / ",SUM($G$6:$G$370))</f>
        <v>60 / 2316,5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462</v>
      </c>
      <c r="G104" s="124"/>
      <c r="H104" s="28" t="str">
        <f>CONCATENATE(SUMIF($C$6:$C104,C104,$E$6:$E$370)," / ",SUMIF($C$6:$C$370,C104,$E$6:$E$370))</f>
        <v>51 / 64</v>
      </c>
      <c r="I104" s="28" t="str">
        <f>CONCATENATE(SUMIF($D$6:$D104,D104,$E$6:$E$370)," / ",SUMIF($D$6:$D$370,D104,$E$6:$E$370))</f>
        <v>166 / 213</v>
      </c>
      <c r="J104" s="28" t="str">
        <f>CONCATENATE(SUM($E$6:$E104)," / ",SUM($E$6:$E$370))</f>
        <v>852 / 2214</v>
      </c>
      <c r="K104" s="24" t="s">
        <v>426</v>
      </c>
      <c r="L104" s="28" t="str">
        <f>CONCATENATE(SUMIF($C$6:$C104,C104,$G$6:$G$370)," / ",SUMIF($C$6:$C$370,C104,$G$6:$G$370))</f>
        <v>30 / 30</v>
      </c>
      <c r="M104" s="28" t="str">
        <f>CONCATENATE(SUMIF($D$6:$D104,D104,$G$6:$G$370)," / ",SUMIF($D$6:$D$370,D104,$G$6:$G$370))</f>
        <v>60 / 100</v>
      </c>
      <c r="N104" s="28" t="str">
        <f>CONCATENATE(SUM($G$6:$G104)," / ",SUM($G$6:$G$370))</f>
        <v>60 / 2316,5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2214</v>
      </c>
      <c r="K105" s="24"/>
      <c r="L105" s="28" t="str">
        <f>CONCATENATE(SUMIF($C$6:$C105,C105,$G$6:$G$370)," / ",SUMIF($C$6:$C$370,C105,$G$6:$G$370))</f>
        <v>30 / 30</v>
      </c>
      <c r="M105" s="28" t="str">
        <f>CONCATENATE(SUMIF($D$6:$D105,D105,$G$6:$G$370)," / ",SUMIF($D$6:$D$370,D105,$G$6:$G$370))</f>
        <v>60 / 100</v>
      </c>
      <c r="N105" s="28" t="str">
        <f>CONCATENATE(SUM($G$6:$G105)," / ",SUM($G$6:$G$370))</f>
        <v>60 / 2316,5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464</v>
      </c>
      <c r="G106" s="124"/>
      <c r="H106" s="28" t="str">
        <f>CONCATENATE(SUMIF($C$6:$C106,C106,$E$6:$E$370)," / ",SUMIF($C$6:$C$370,C106,$E$6:$E$370))</f>
        <v>64 / 64</v>
      </c>
      <c r="I106" s="28" t="str">
        <f>CONCATENATE(SUMIF($D$6:$D106,D106,$E$6:$E$370)," / ",SUMIF($D$6:$D$370,D106,$E$6:$E$370))</f>
        <v>179 / 213</v>
      </c>
      <c r="J106" s="28" t="str">
        <f>CONCATENATE(SUM($E$6:$E106)," / ",SUM($E$6:$E$370))</f>
        <v>865 / 2214</v>
      </c>
      <c r="K106" s="24" t="s">
        <v>426</v>
      </c>
      <c r="L106" s="28" t="str">
        <f>CONCATENATE(SUMIF($C$6:$C106,C106,$G$6:$G$370)," / ",SUMIF($C$6:$C$370,C106,$G$6:$G$370))</f>
        <v>30 / 30</v>
      </c>
      <c r="M106" s="28" t="str">
        <f>CONCATENATE(SUMIF($D$6:$D106,D106,$G$6:$G$370)," / ",SUMIF($D$6:$D$370,D106,$G$6:$G$370))</f>
        <v>60 / 100</v>
      </c>
      <c r="N106" s="28" t="str">
        <f>CONCATENATE(SUM($G$6:$G106)," / ",SUM($G$6:$G$370))</f>
        <v>60 / 2316,5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465</v>
      </c>
      <c r="G107" s="124">
        <v>40</v>
      </c>
      <c r="H107" s="28" t="str">
        <f>CONCATENATE(SUMIF($C$6:$C107,C107,$E$6:$E$370)," / ",SUMIF($C$6:$C$370,C107,$E$6:$E$370))</f>
        <v>0 / 14</v>
      </c>
      <c r="I107" s="28" t="str">
        <f>CONCATENATE(SUMIF($D$6:$D107,D107,$E$6:$E$370)," / ",SUMIF($D$6:$D$370,D107,$E$6:$E$370))</f>
        <v>179 / 213</v>
      </c>
      <c r="J107" s="28" t="str">
        <f>CONCATENATE(SUM($E$6:$E107)," / ",SUM($E$6:$E$370))</f>
        <v>865 / 2214</v>
      </c>
      <c r="K107" s="24"/>
      <c r="L107" s="28" t="str">
        <f>CONCATENATE(SUMIF($C$6:$C107,C107,$G$6:$G$370)," / ",SUMIF($C$6:$C$370,C107,$G$6:$G$370))</f>
        <v>40 / 40</v>
      </c>
      <c r="M107" s="28" t="str">
        <f>CONCATENATE(SUMIF($D$6:$D107,D107,$G$6:$G$370)," / ",SUMIF($D$6:$D$370,D107,$G$6:$G$370))</f>
        <v>100 / 100</v>
      </c>
      <c r="N107" s="28" t="str">
        <f>CONCATENATE(SUM($G$6:$G107)," / ",SUM($G$6:$G$370))</f>
        <v>100 / 2316,5</v>
      </c>
      <c r="O107" s="24" t="s">
        <v>488</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2214</v>
      </c>
      <c r="K108" s="24"/>
      <c r="L108" s="28" t="str">
        <f>CONCATENATE(SUMIF($C$6:$C108,C108,$G$6:$G$370)," / ",SUMIF($C$6:$C$370,C108,$G$6:$G$370))</f>
        <v>40 / 40</v>
      </c>
      <c r="M108" s="28" t="str">
        <f>CONCATENATE(SUMIF($D$6:$D108,D108,$G$6:$G$370)," / ",SUMIF($D$6:$D$370,D108,$G$6:$G$370))</f>
        <v>100 / 100</v>
      </c>
      <c r="N108" s="28" t="str">
        <f>CONCATENATE(SUM($G$6:$G108)," / ",SUM($G$6:$G$370))</f>
        <v>100 / 2316,5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2214</v>
      </c>
      <c r="K109" s="24"/>
      <c r="L109" s="28" t="str">
        <f>CONCATENATE(SUMIF($C$6:$C109,C109,$G$6:$G$370)," / ",SUMIF($C$6:$C$370,C109,$G$6:$G$370))</f>
        <v>40 / 40</v>
      </c>
      <c r="M109" s="28" t="str">
        <f>CONCATENATE(SUMIF($D$6:$D109,D109,$G$6:$G$370)," / ",SUMIF($D$6:$D$370,D109,$G$6:$G$370))</f>
        <v>100 / 100</v>
      </c>
      <c r="N109" s="28" t="str">
        <f>CONCATENATE(SUM($G$6:$G109)," / ",SUM($G$6:$G$370))</f>
        <v>100 / 2316,5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2214</v>
      </c>
      <c r="K110" s="24"/>
      <c r="L110" s="28" t="str">
        <f>CONCATENATE(SUMIF($C$6:$C110,C110,$G$6:$G$370)," / ",SUMIF($C$6:$C$370,C110,$G$6:$G$370))</f>
        <v>40 / 40</v>
      </c>
      <c r="M110" s="28" t="str">
        <f>CONCATENATE(SUMIF($D$6:$D110,D110,$G$6:$G$370)," / ",SUMIF($D$6:$D$370,D110,$G$6:$G$370))</f>
        <v>100 / 100</v>
      </c>
      <c r="N110" s="28" t="str">
        <f>CONCATENATE(SUM($G$6:$G110)," / ",SUM($G$6:$G$370))</f>
        <v>100 / 2316,5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466</v>
      </c>
      <c r="G111" s="124"/>
      <c r="H111" s="28" t="str">
        <f>CONCATENATE(SUMIF($C$6:$C111,C111,$E$6:$E$370)," / ",SUMIF($C$6:$C$370,C111,$E$6:$E$370))</f>
        <v>14 / 14</v>
      </c>
      <c r="I111" s="28" t="str">
        <f>CONCATENATE(SUMIF($D$6:$D111,D111,$E$6:$E$370)," / ",SUMIF($D$6:$D$370,D111,$E$6:$E$370))</f>
        <v>193 / 213</v>
      </c>
      <c r="J111" s="28" t="str">
        <f>CONCATENATE(SUM($E$6:$E111)," / ",SUM($E$6:$E$370))</f>
        <v>879 / 2214</v>
      </c>
      <c r="K111" s="24" t="s">
        <v>426</v>
      </c>
      <c r="L111" s="28" t="str">
        <f>CONCATENATE(SUMIF($C$6:$C111,C111,$G$6:$G$370)," / ",SUMIF($C$6:$C$370,C111,$G$6:$G$370))</f>
        <v>40 / 40</v>
      </c>
      <c r="M111" s="28" t="str">
        <f>CONCATENATE(SUMIF($D$6:$D111,D111,$G$6:$G$370)," / ",SUMIF($D$6:$D$370,D111,$G$6:$G$370))</f>
        <v>100 / 100</v>
      </c>
      <c r="N111" s="28" t="str">
        <f>CONCATENATE(SUM($G$6:$G111)," / ",SUM($G$6:$G$370))</f>
        <v>100 / 2316,5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2214</v>
      </c>
      <c r="K112" s="24"/>
      <c r="L112" s="28" t="str">
        <f>CONCATENATE(SUMIF($C$6:$C112,C112,$G$6:$G$370)," / ",SUMIF($C$6:$C$370,C112,$G$6:$G$370))</f>
        <v>40 / 40</v>
      </c>
      <c r="M112" s="28" t="str">
        <f>CONCATENATE(SUMIF($D$6:$D112,D112,$G$6:$G$370)," / ",SUMIF($D$6:$D$370,D112,$G$6:$G$370))</f>
        <v>100 / 100</v>
      </c>
      <c r="N112" s="28" t="str">
        <f>CONCATENATE(SUM($G$6:$G112)," / ",SUM($G$6:$G$370))</f>
        <v>100 / 2316,5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2214</v>
      </c>
      <c r="K113" s="24"/>
      <c r="L113" s="28" t="str">
        <f>CONCATENATE(SUMIF($C$6:$C113,C113,$G$6:$G$370)," / ",SUMIF($C$6:$C$370,C113,$G$6:$G$370))</f>
        <v>40 / 40</v>
      </c>
      <c r="M113" s="28" t="str">
        <f>CONCATENATE(SUMIF($D$6:$D113,D113,$G$6:$G$370)," / ",SUMIF($D$6:$D$370,D113,$G$6:$G$370))</f>
        <v>100 / 100</v>
      </c>
      <c r="N113" s="28" t="str">
        <f>CONCATENATE(SUM($G$6:$G113)," / ",SUM($G$6:$G$370))</f>
        <v>100 / 2316,5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2214</v>
      </c>
      <c r="K114" s="24"/>
      <c r="L114" s="28" t="str">
        <f>CONCATENATE(SUMIF($C$6:$C114,C114,$G$6:$G$370)," / ",SUMIF($C$6:$C$370,C114,$G$6:$G$370))</f>
        <v>0 / 0</v>
      </c>
      <c r="M114" s="28" t="str">
        <f>CONCATENATE(SUMIF($D$6:$D114,D114,$G$6:$G$370)," / ",SUMIF($D$6:$D$370,D114,$G$6:$G$370))</f>
        <v>100 / 100</v>
      </c>
      <c r="N114" s="28" t="str">
        <f>CONCATENATE(SUM($G$6:$G114)," / ",SUM($G$6:$G$370))</f>
        <v>100 / 2316,5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2214</v>
      </c>
      <c r="K115" s="24"/>
      <c r="L115" s="28" t="str">
        <f>CONCATENATE(SUMIF($C$6:$C115,C115,$G$6:$G$370)," / ",SUMIF($C$6:$C$370,C115,$G$6:$G$370))</f>
        <v>0 / 0</v>
      </c>
      <c r="M115" s="28" t="str">
        <f>CONCATENATE(SUMIF($D$6:$D115,D115,$G$6:$G$370)," / ",SUMIF($D$6:$D$370,D115,$G$6:$G$370))</f>
        <v>100 / 100</v>
      </c>
      <c r="N115" s="28" t="str">
        <f>CONCATENATE(SUM($G$6:$G115)," / ",SUM($G$6:$G$370))</f>
        <v>100 / 2316,5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2214</v>
      </c>
      <c r="K116" s="24"/>
      <c r="L116" s="28" t="str">
        <f>CONCATENATE(SUMIF($C$6:$C116,C116,$G$6:$G$370)," / ",SUMIF($C$6:$C$370,C116,$G$6:$G$370))</f>
        <v>0 / 0</v>
      </c>
      <c r="M116" s="28" t="str">
        <f>CONCATENATE(SUMIF($D$6:$D116,D116,$G$6:$G$370)," / ",SUMIF($D$6:$D$370,D116,$G$6:$G$370))</f>
        <v>100 / 100</v>
      </c>
      <c r="N116" s="28" t="str">
        <f>CONCATENATE(SUM($G$6:$G116)," / ",SUM($G$6:$G$370))</f>
        <v>100 / 2316,5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466</v>
      </c>
      <c r="G117" s="124"/>
      <c r="H117" s="28" t="str">
        <f>CONCATENATE(SUMIF($C$6:$C117,C117,$E$6:$E$370)," / ",SUMIF($C$6:$C$370,C117,$E$6:$E$370))</f>
        <v>14 / 14</v>
      </c>
      <c r="I117" s="28" t="str">
        <f>CONCATENATE(SUMIF($D$6:$D117,D117,$E$6:$E$370)," / ",SUMIF($D$6:$D$370,D117,$E$6:$E$370))</f>
        <v>207 / 213</v>
      </c>
      <c r="J117" s="28" t="str">
        <f>CONCATENATE(SUM($E$6:$E117)," / ",SUM($E$6:$E$370))</f>
        <v>893 / 2214</v>
      </c>
      <c r="K117" s="24" t="s">
        <v>426</v>
      </c>
      <c r="L117" s="28" t="str">
        <f>CONCATENATE(SUMIF($C$6:$C117,C117,$G$6:$G$370)," / ",SUMIF($C$6:$C$370,C117,$G$6:$G$370))</f>
        <v>0 / 0</v>
      </c>
      <c r="M117" s="28" t="str">
        <f>CONCATENATE(SUMIF($D$6:$D117,D117,$G$6:$G$370)," / ",SUMIF($D$6:$D$370,D117,$G$6:$G$370))</f>
        <v>100 / 100</v>
      </c>
      <c r="N117" s="28" t="str">
        <f>CONCATENATE(SUM($G$6:$G117)," / ",SUM($G$6:$G$370))</f>
        <v>100 / 2316,5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2214</v>
      </c>
      <c r="K118" s="24"/>
      <c r="L118" s="28" t="str">
        <f>CONCATENATE(SUMIF($C$6:$C118,C118,$G$6:$G$370)," / ",SUMIF($C$6:$C$370,C118,$G$6:$G$370))</f>
        <v>0 / 0</v>
      </c>
      <c r="M118" s="28" t="str">
        <f>CONCATENATE(SUMIF($D$6:$D118,D118,$G$6:$G$370)," / ",SUMIF($D$6:$D$370,D118,$G$6:$G$370))</f>
        <v>100 / 100</v>
      </c>
      <c r="N118" s="28" t="str">
        <f>CONCATENATE(SUM($G$6:$G118)," / ",SUM($G$6:$G$370))</f>
        <v>100 / 2316,5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2214</v>
      </c>
      <c r="K119" s="24"/>
      <c r="L119" s="28" t="str">
        <f>CONCATENATE(SUMIF($C$6:$C119,C119,$G$6:$G$370)," / ",SUMIF($C$6:$C$370,C119,$G$6:$G$370))</f>
        <v>0 / 0</v>
      </c>
      <c r="M119" s="28" t="str">
        <f>CONCATENATE(SUMIF($D$6:$D119,D119,$G$6:$G$370)," / ",SUMIF($D$6:$D$370,D119,$G$6:$G$370))</f>
        <v>100 / 100</v>
      </c>
      <c r="N119" s="28" t="str">
        <f>CONCATENATE(SUM($G$6:$G119)," / ",SUM($G$6:$G$370))</f>
        <v>100 / 2316,5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2214</v>
      </c>
      <c r="K120" s="24"/>
      <c r="L120" s="28" t="str">
        <f>CONCATENATE(SUMIF($C$6:$C120,C120,$G$6:$G$370)," / ",SUMIF($C$6:$C$370,C120,$G$6:$G$370))</f>
        <v>0 / 0</v>
      </c>
      <c r="M120" s="28" t="str">
        <f>CONCATENATE(SUMIF($D$6:$D120,D120,$G$6:$G$370)," / ",SUMIF($D$6:$D$370,D120,$G$6:$G$370))</f>
        <v>100 / 100</v>
      </c>
      <c r="N120" s="28" t="str">
        <f>CONCATENATE(SUM($G$6:$G120)," / ",SUM($G$6:$G$370))</f>
        <v>100 / 2316,5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467</v>
      </c>
      <c r="G121" s="124"/>
      <c r="H121" s="28" t="str">
        <f>CONCATENATE(SUMIF($C$6:$C121,C121,$E$6:$E$370)," / ",SUMIF($C$6:$C$370,C121,$E$6:$E$370))</f>
        <v>6 / 50</v>
      </c>
      <c r="I121" s="28" t="str">
        <f>CONCATENATE(SUMIF($D$6:$D121,D121,$E$6:$E$370)," / ",SUMIF($D$6:$D$370,D121,$E$6:$E$370))</f>
        <v>213 / 213</v>
      </c>
      <c r="J121" s="28" t="str">
        <f>CONCATENATE(SUM($E$6:$E121)," / ",SUM($E$6:$E$370))</f>
        <v>899 / 2214</v>
      </c>
      <c r="K121" s="24" t="s">
        <v>426</v>
      </c>
      <c r="L121" s="28" t="str">
        <f>CONCATENATE(SUMIF($C$6:$C121,C121,$G$6:$G$370)," / ",SUMIF($C$6:$C$370,C121,$G$6:$G$370))</f>
        <v>0 / 0</v>
      </c>
      <c r="M121" s="28" t="str">
        <f>CONCATENATE(SUMIF($D$6:$D121,D121,$G$6:$G$370)," / ",SUMIF($D$6:$D$370,D121,$G$6:$G$370))</f>
        <v>100 / 100</v>
      </c>
      <c r="N121" s="28" t="str">
        <f>CONCATENATE(SUM($G$6:$G121)," / ",SUM($G$6:$G$370))</f>
        <v>100 / 2316,5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469</v>
      </c>
      <c r="G122" s="124"/>
      <c r="H122" s="28" t="str">
        <f>CONCATENATE(SUMIF($C$6:$C122,C122,$E$6:$E$370)," / ",SUMIF($C$6:$C$370,C122,$E$6:$E$370))</f>
        <v>23 / 50</v>
      </c>
      <c r="I122" s="28" t="str">
        <f>CONCATENATE(SUMIF($D$6:$D122,D122,$E$6:$E$370)," / ",SUMIF($D$6:$D$370,D122,$E$6:$E$370))</f>
        <v>17 / 165</v>
      </c>
      <c r="J122" s="28" t="str">
        <f>CONCATENATE(SUM($E$6:$E122)," / ",SUM($E$6:$E$370))</f>
        <v>916 / 2214</v>
      </c>
      <c r="K122" s="24" t="s">
        <v>426</v>
      </c>
      <c r="L122" s="28" t="str">
        <f>CONCATENATE(SUMIF($C$6:$C122,C122,$G$6:$G$370)," / ",SUMIF($C$6:$C$370,C122,$G$6:$G$370))</f>
        <v>0 / 0</v>
      </c>
      <c r="M122" s="28" t="str">
        <f>CONCATENATE(SUMIF($D$6:$D122,D122,$G$6:$G$370)," / ",SUMIF($D$6:$D$370,D122,$G$6:$G$370))</f>
        <v>0 / 352</v>
      </c>
      <c r="N122" s="28" t="str">
        <f>CONCATENATE(SUM($G$6:$G122)," / ",SUM($G$6:$G$370))</f>
        <v>100 / 2316,5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2214</v>
      </c>
      <c r="K123" s="24"/>
      <c r="L123" s="28" t="str">
        <f>CONCATENATE(SUMIF($C$6:$C123,C123,$G$6:$G$370)," / ",SUMIF($C$6:$C$370,C123,$G$6:$G$370))</f>
        <v>0 / 0</v>
      </c>
      <c r="M123" s="28" t="str">
        <f>CONCATENATE(SUMIF($D$6:$D123,D123,$G$6:$G$370)," / ",SUMIF($D$6:$D$370,D123,$G$6:$G$370))</f>
        <v>0 / 352</v>
      </c>
      <c r="N123" s="28" t="str">
        <f>CONCATENATE(SUM($G$6:$G123)," / ",SUM($G$6:$G$370))</f>
        <v>100 / 2316,5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2214</v>
      </c>
      <c r="K124" s="24"/>
      <c r="L124" s="28" t="str">
        <f>CONCATENATE(SUMIF($C$6:$C124,C124,$G$6:$G$370)," / ",SUMIF($C$6:$C$370,C124,$G$6:$G$370))</f>
        <v>0 / 0</v>
      </c>
      <c r="M124" s="28" t="str">
        <f>CONCATENATE(SUMIF($D$6:$D124,D124,$G$6:$G$370)," / ",SUMIF($D$6:$D$370,D124,$G$6:$G$370))</f>
        <v>0 / 352</v>
      </c>
      <c r="N124" s="28" t="str">
        <f>CONCATENATE(SUM($G$6:$G124)," / ",SUM($G$6:$G$370))</f>
        <v>100 / 2316,5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470</v>
      </c>
      <c r="G125" s="124"/>
      <c r="H125" s="28" t="str">
        <f>CONCATENATE(SUMIF($C$6:$C125,C125,$E$6:$E$370)," / ",SUMIF($C$6:$C$370,C125,$E$6:$E$370))</f>
        <v>36 / 50</v>
      </c>
      <c r="I125" s="28" t="str">
        <f>CONCATENATE(SUMIF($D$6:$D125,D125,$E$6:$E$370)," / ",SUMIF($D$6:$D$370,D125,$E$6:$E$370))</f>
        <v>30 / 165</v>
      </c>
      <c r="J125" s="28" t="str">
        <f>CONCATENATE(SUM($E$6:$E125)," / ",SUM($E$6:$E$370))</f>
        <v>929 / 2214</v>
      </c>
      <c r="K125" s="24" t="s">
        <v>426</v>
      </c>
      <c r="L125" s="28" t="str">
        <f>CONCATENATE(SUMIF($C$6:$C125,C125,$G$6:$G$370)," / ",SUMIF($C$6:$C$370,C125,$G$6:$G$370))</f>
        <v>0 / 0</v>
      </c>
      <c r="M125" s="28" t="str">
        <f>CONCATENATE(SUMIF($D$6:$D125,D125,$G$6:$G$370)," / ",SUMIF($D$6:$D$370,D125,$G$6:$G$370))</f>
        <v>0 / 352</v>
      </c>
      <c r="N125" s="28" t="str">
        <f>CONCATENATE(SUM($G$6:$G125)," / ",SUM($G$6:$G$370))</f>
        <v>100 / 2316,5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2214</v>
      </c>
      <c r="K126" s="24"/>
      <c r="L126" s="28" t="str">
        <f>CONCATENATE(SUMIF($C$6:$C126,C126,$G$6:$G$370)," / ",SUMIF($C$6:$C$370,C126,$G$6:$G$370))</f>
        <v>0 / 0</v>
      </c>
      <c r="M126" s="28" t="str">
        <f>CONCATENATE(SUMIF($D$6:$D126,D126,$G$6:$G$370)," / ",SUMIF($D$6:$D$370,D126,$G$6:$G$370))</f>
        <v>0 / 352</v>
      </c>
      <c r="N126" s="28" t="str">
        <f>CONCATENATE(SUM($G$6:$G126)," / ",SUM($G$6:$G$370))</f>
        <v>100 / 2316,5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471</v>
      </c>
      <c r="G127" s="124"/>
      <c r="H127" s="28" t="str">
        <f>CONCATENATE(SUMIF($C$6:$C127,C127,$E$6:$E$370)," / ",SUMIF($C$6:$C$370,C127,$E$6:$E$370))</f>
        <v>50 / 50</v>
      </c>
      <c r="I127" s="28" t="str">
        <f>CONCATENATE(SUMIF($D$6:$D127,D127,$E$6:$E$370)," / ",SUMIF($D$6:$D$370,D127,$E$6:$E$370))</f>
        <v>44 / 165</v>
      </c>
      <c r="J127" s="28" t="str">
        <f>CONCATENATE(SUM($E$6:$E127)," / ",SUM($E$6:$E$370))</f>
        <v>943 / 2214</v>
      </c>
      <c r="K127" s="24" t="s">
        <v>426</v>
      </c>
      <c r="L127" s="28" t="str">
        <f>CONCATENATE(SUMIF($C$6:$C127,C127,$G$6:$G$370)," / ",SUMIF($C$6:$C$370,C127,$G$6:$G$370))</f>
        <v>0 / 0</v>
      </c>
      <c r="M127" s="28" t="str">
        <f>CONCATENATE(SUMIF($D$6:$D127,D127,$G$6:$G$370)," / ",SUMIF($D$6:$D$370,D127,$G$6:$G$370))</f>
        <v>0 / 352</v>
      </c>
      <c r="N127" s="28" t="str">
        <f>CONCATENATE(SUM($G$6:$G127)," / ",SUM($G$6:$G$370))</f>
        <v>100 / 2316,5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2214</v>
      </c>
      <c r="K128" s="24"/>
      <c r="L128" s="28" t="str">
        <f>CONCATENATE(SUMIF($C$6:$C128,C128,$G$6:$G$370)," / ",SUMIF($C$6:$C$370,C128,$G$6:$G$370))</f>
        <v>0 / 0</v>
      </c>
      <c r="M128" s="28" t="str">
        <f>CONCATENATE(SUMIF($D$6:$D128,D128,$G$6:$G$370)," / ",SUMIF($D$6:$D$370,D128,$G$6:$G$370))</f>
        <v>0 / 352</v>
      </c>
      <c r="N128" s="28" t="str">
        <f>CONCATENATE(SUM($G$6:$G128)," / ",SUM($G$6:$G$370))</f>
        <v>100 / 2316,5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473</v>
      </c>
      <c r="G129" s="124"/>
      <c r="H129" s="28" t="str">
        <f>CONCATENATE(SUMIF($C$6:$C129,C129,$E$6:$E$370)," / ",SUMIF($C$6:$C$370,C129,$E$6:$E$370))</f>
        <v>8 / 54</v>
      </c>
      <c r="I129" s="28" t="str">
        <f>CONCATENATE(SUMIF($D$6:$D129,D129,$E$6:$E$370)," / ",SUMIF($D$6:$D$370,D129,$E$6:$E$370))</f>
        <v>52 / 165</v>
      </c>
      <c r="J129" s="28" t="str">
        <f>CONCATENATE(SUM($E$6:$E129)," / ",SUM($E$6:$E$370))</f>
        <v>951 / 2214</v>
      </c>
      <c r="K129" s="24" t="s">
        <v>379</v>
      </c>
      <c r="L129" s="28" t="str">
        <f>CONCATENATE(SUMIF($C$6:$C129,C129,$G$6:$G$370)," / ",SUMIF($C$6:$C$370,C129,$G$6:$G$370))</f>
        <v>0 / 0</v>
      </c>
      <c r="M129" s="28" t="str">
        <f>CONCATENATE(SUMIF($D$6:$D129,D129,$G$6:$G$370)," / ",SUMIF($D$6:$D$370,D129,$G$6:$G$370))</f>
        <v>0 / 352</v>
      </c>
      <c r="N129" s="28" t="str">
        <f>CONCATENATE(SUM($G$6:$G129)," / ",SUM($G$6:$G$370))</f>
        <v>100 / 2316,5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470</v>
      </c>
      <c r="G130" s="124"/>
      <c r="H130" s="28" t="str">
        <f>CONCATENATE(SUMIF($C$6:$C130,C130,$E$6:$E$370)," / ",SUMIF($C$6:$C$370,C130,$E$6:$E$370))</f>
        <v>15 / 54</v>
      </c>
      <c r="I130" s="28" t="str">
        <f>CONCATENATE(SUMIF($D$6:$D130,D130,$E$6:$E$370)," / ",SUMIF($D$6:$D$370,D130,$E$6:$E$370))</f>
        <v>59 / 165</v>
      </c>
      <c r="J130" s="28" t="str">
        <f>CONCATENATE(SUM($E$6:$E130)," / ",SUM($E$6:$E$370))</f>
        <v>958 / 2214</v>
      </c>
      <c r="K130" s="24" t="s">
        <v>379</v>
      </c>
      <c r="L130" s="28" t="str">
        <f>CONCATENATE(SUMIF($C$6:$C130,C130,$G$6:$G$370)," / ",SUMIF($C$6:$C$370,C130,$G$6:$G$370))</f>
        <v>0 / 0</v>
      </c>
      <c r="M130" s="28" t="str">
        <f>CONCATENATE(SUMIF($D$6:$D130,D130,$G$6:$G$370)," / ",SUMIF($D$6:$D$370,D130,$G$6:$G$370))</f>
        <v>0 / 352</v>
      </c>
      <c r="N130" s="28" t="str">
        <f>CONCATENATE(SUM($G$6:$G130)," / ",SUM($G$6:$G$370))</f>
        <v>100 / 2316,5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475</v>
      </c>
      <c r="G131" s="124"/>
      <c r="H131" s="28" t="str">
        <f>CONCATENATE(SUMIF($C$6:$C131,C131,$E$6:$E$370)," / ",SUMIF($C$6:$C$370,C131,$E$6:$E$370))</f>
        <v>25 / 54</v>
      </c>
      <c r="I131" s="28" t="str">
        <f>CONCATENATE(SUMIF($D$6:$D131,D131,$E$6:$E$370)," / ",SUMIF($D$6:$D$370,D131,$E$6:$E$370))</f>
        <v>69 / 165</v>
      </c>
      <c r="J131" s="28" t="str">
        <f>CONCATENATE(SUM($E$6:$E131)," / ",SUM($E$6:$E$370))</f>
        <v>968 / 2214</v>
      </c>
      <c r="K131" s="24" t="s">
        <v>379</v>
      </c>
      <c r="L131" s="28" t="str">
        <f>CONCATENATE(SUMIF($C$6:$C131,C131,$G$6:$G$370)," / ",SUMIF($C$6:$C$370,C131,$G$6:$G$370))</f>
        <v>0 / 0</v>
      </c>
      <c r="M131" s="28" t="str">
        <f>CONCATENATE(SUMIF($D$6:$D131,D131,$G$6:$G$370)," / ",SUMIF($D$6:$D$370,D131,$G$6:$G$370))</f>
        <v>0 / 352</v>
      </c>
      <c r="N131" s="28" t="str">
        <f>CONCATENATE(SUM($G$6:$G131)," / ",SUM($G$6:$G$370))</f>
        <v>100 / 2316,5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478</v>
      </c>
      <c r="G132" s="124"/>
      <c r="H132" s="28" t="str">
        <f>CONCATENATE(SUMIF($C$6:$C132,C132,$E$6:$E$370)," / ",SUMIF($C$6:$C$370,C132,$E$6:$E$370))</f>
        <v>37 / 54</v>
      </c>
      <c r="I132" s="28" t="str">
        <f>CONCATENATE(SUMIF($D$6:$D132,D132,$E$6:$E$370)," / ",SUMIF($D$6:$D$370,D132,$E$6:$E$370))</f>
        <v>81 / 165</v>
      </c>
      <c r="J132" s="28" t="str">
        <f>CONCATENATE(SUM($E$6:$E132)," / ",SUM($E$6:$E$370))</f>
        <v>980 / 2214</v>
      </c>
      <c r="K132" s="24" t="s">
        <v>476</v>
      </c>
      <c r="L132" s="28" t="str">
        <f>CONCATENATE(SUMIF($C$6:$C132,C132,$G$6:$G$370)," / ",SUMIF($C$6:$C$370,C132,$G$6:$G$370))</f>
        <v>0 / 0</v>
      </c>
      <c r="M132" s="28" t="str">
        <f>CONCATENATE(SUMIF($D$6:$D132,D132,$G$6:$G$370)," / ",SUMIF($D$6:$D$370,D132,$G$6:$G$370))</f>
        <v>0 / 352</v>
      </c>
      <c r="N132" s="28" t="str">
        <f>CONCATENATE(SUM($G$6:$G132)," / ",SUM($G$6:$G$370))</f>
        <v>100 / 2316,5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2214</v>
      </c>
      <c r="K133" s="24"/>
      <c r="L133" s="28" t="str">
        <f>CONCATENATE(SUMIF($C$6:$C133,C133,$G$6:$G$370)," / ",SUMIF($C$6:$C$370,C133,$G$6:$G$370))</f>
        <v>0 / 0</v>
      </c>
      <c r="M133" s="28" t="str">
        <f>CONCATENATE(SUMIF($D$6:$D133,D133,$G$6:$G$370)," / ",SUMIF($D$6:$D$370,D133,$G$6:$G$370))</f>
        <v>0 / 352</v>
      </c>
      <c r="N133" s="28" t="str">
        <f>CONCATENATE(SUM($G$6:$G133)," / ",SUM($G$6:$G$370))</f>
        <v>100 / 2316,5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482</v>
      </c>
      <c r="G134" s="124"/>
      <c r="H134" s="28" t="str">
        <f>CONCATENATE(SUMIF($C$6:$C134,C134,$E$6:$E$370)," / ",SUMIF($C$6:$C$370,C134,$E$6:$E$370))</f>
        <v>54 / 54</v>
      </c>
      <c r="I134" s="28" t="str">
        <f>CONCATENATE(SUMIF($D$6:$D134,D134,$E$6:$E$370)," / ",SUMIF($D$6:$D$370,D134,$E$6:$E$370))</f>
        <v>98 / 165</v>
      </c>
      <c r="J134" s="28" t="str">
        <f>CONCATENATE(SUM($E$6:$E134)," / ",SUM($E$6:$E$370))</f>
        <v>997 / 2214</v>
      </c>
      <c r="K134" s="24" t="s">
        <v>476</v>
      </c>
      <c r="L134" s="28" t="str">
        <f>CONCATENATE(SUMIF($C$6:$C134,C134,$G$6:$G$370)," / ",SUMIF($C$6:$C$370,C134,$G$6:$G$370))</f>
        <v>0 / 0</v>
      </c>
      <c r="M134" s="28" t="str">
        <f>CONCATENATE(SUMIF($D$6:$D134,D134,$G$6:$G$370)," / ",SUMIF($D$6:$D$370,D134,$G$6:$G$370))</f>
        <v>0 / 352</v>
      </c>
      <c r="N134" s="28" t="str">
        <f>CONCATENATE(SUM($G$6:$G134)," / ",SUM($G$6:$G$370))</f>
        <v>100 / 2316,5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480</v>
      </c>
      <c r="G135" s="124">
        <v>42</v>
      </c>
      <c r="H135" s="28" t="str">
        <f>CONCATENATE(SUMIF($C$6:$C135,C135,$E$6:$E$370)," / ",SUMIF($C$6:$C$370,C135,$E$6:$E$370))</f>
        <v>0 / 9</v>
      </c>
      <c r="I135" s="28" t="str">
        <f>CONCATENATE(SUMIF($D$6:$D135,D135,$E$6:$E$370)," / ",SUMIF($D$6:$D$370,D135,$E$6:$E$370))</f>
        <v>98 / 165</v>
      </c>
      <c r="J135" s="28" t="str">
        <f>CONCATENATE(SUM($E$6:$E135)," / ",SUM($E$6:$E$370))</f>
        <v>997 / 2214</v>
      </c>
      <c r="K135" s="24"/>
      <c r="L135" s="28" t="str">
        <f>CONCATENATE(SUMIF($C$6:$C135,C135,$G$6:$G$370)," / ",SUMIF($C$6:$C$370,C135,$G$6:$G$370))</f>
        <v>42 / 102</v>
      </c>
      <c r="M135" s="28" t="str">
        <f>CONCATENATE(SUMIF($D$6:$D135,D135,$G$6:$G$370)," / ",SUMIF($D$6:$D$370,D135,$G$6:$G$370))</f>
        <v>42 / 352</v>
      </c>
      <c r="N135" s="28" t="str">
        <f>CONCATENATE(SUM($G$6:$G135)," / ",SUM($G$6:$G$370))</f>
        <v>142 / 2316,5</v>
      </c>
      <c r="O135" s="24" t="s">
        <v>488</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2214</v>
      </c>
      <c r="K136" s="24"/>
      <c r="L136" s="28" t="str">
        <f>CONCATENATE(SUMIF($C$6:$C136,C136,$G$6:$G$370)," / ",SUMIF($C$6:$C$370,C136,$G$6:$G$370))</f>
        <v>42 / 102</v>
      </c>
      <c r="M136" s="28" t="str">
        <f>CONCATENATE(SUMIF($D$6:$D136,D136,$G$6:$G$370)," / ",SUMIF($D$6:$D$370,D136,$G$6:$G$370))</f>
        <v>42 / 352</v>
      </c>
      <c r="N136" s="28" t="str">
        <f>CONCATENATE(SUM($G$6:$G136)," / ",SUM($G$6:$G$370))</f>
        <v>142 / 2316,5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481</v>
      </c>
      <c r="G137" s="124">
        <v>30</v>
      </c>
      <c r="H137" s="28" t="str">
        <f>CONCATENATE(SUMIF($C$6:$C137,C137,$E$6:$E$370)," / ",SUMIF($C$6:$C$370,C137,$E$6:$E$370))</f>
        <v>0 / 9</v>
      </c>
      <c r="I137" s="28" t="str">
        <f>CONCATENATE(SUMIF($D$6:$D137,D137,$E$6:$E$370)," / ",SUMIF($D$6:$D$370,D137,$E$6:$E$370))</f>
        <v>98 / 165</v>
      </c>
      <c r="J137" s="28" t="str">
        <f>CONCATENATE(SUM($E$6:$E137)," / ",SUM($E$6:$E$370))</f>
        <v>997 / 2214</v>
      </c>
      <c r="K137" s="24"/>
      <c r="L137" s="28" t="str">
        <f>CONCATENATE(SUMIF($C$6:$C137,C137,$G$6:$G$370)," / ",SUMIF($C$6:$C$370,C137,$G$6:$G$370))</f>
        <v>72 / 102</v>
      </c>
      <c r="M137" s="28" t="str">
        <f>CONCATENATE(SUMIF($D$6:$D137,D137,$G$6:$G$370)," / ",SUMIF($D$6:$D$370,D137,$G$6:$G$370))</f>
        <v>72 / 352</v>
      </c>
      <c r="N137" s="28" t="str">
        <f>CONCATENATE(SUM($G$6:$G137)," / ",SUM($G$6:$G$370))</f>
        <v>172 / 2316,5</v>
      </c>
      <c r="O137" s="24" t="s">
        <v>488</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2214</v>
      </c>
      <c r="K138" s="24"/>
      <c r="L138" s="28" t="str">
        <f>CONCATENATE(SUMIF($C$6:$C138,C138,$G$6:$G$370)," / ",SUMIF($C$6:$C$370,C138,$G$6:$G$370))</f>
        <v>72 / 102</v>
      </c>
      <c r="M138" s="28" t="str">
        <f>CONCATENATE(SUMIF($D$6:$D138,D138,$G$6:$G$370)," / ",SUMIF($D$6:$D$370,D138,$G$6:$G$370))</f>
        <v>72 / 352</v>
      </c>
      <c r="N138" s="28" t="str">
        <f>CONCATENATE(SUM($G$6:$G138)," / ",SUM($G$6:$G$370))</f>
        <v>172 / 2316,5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2214</v>
      </c>
      <c r="K139" s="24"/>
      <c r="L139" s="28" t="str">
        <f>CONCATENATE(SUMIF($C$6:$C139,C139,$G$6:$G$370)," / ",SUMIF($C$6:$C$370,C139,$G$6:$G$370))</f>
        <v>72 / 102</v>
      </c>
      <c r="M139" s="28" t="str">
        <f>CONCATENATE(SUMIF($D$6:$D139,D139,$G$6:$G$370)," / ",SUMIF($D$6:$D$370,D139,$G$6:$G$370))</f>
        <v>72 / 352</v>
      </c>
      <c r="N139" s="28" t="str">
        <f>CONCATENATE(SUM($G$6:$G139)," / ",SUM($G$6:$G$370))</f>
        <v>172 / 2316,5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479</v>
      </c>
      <c r="G140" s="124"/>
      <c r="H140" s="28" t="str">
        <f>CONCATENATE(SUMIF($C$6:$C140,C140,$E$6:$E$370)," / ",SUMIF($C$6:$C$370,C140,$E$6:$E$370))</f>
        <v>9 / 9</v>
      </c>
      <c r="I140" s="28" t="str">
        <f>CONCATENATE(SUMIF($D$6:$D140,D140,$E$6:$E$370)," / ",SUMIF($D$6:$D$370,D140,$E$6:$E$370))</f>
        <v>107 / 165</v>
      </c>
      <c r="J140" s="28" t="str">
        <f>CONCATENATE(SUM($E$6:$E140)," / ",SUM($E$6:$E$370))</f>
        <v>1006 / 2214</v>
      </c>
      <c r="K140" s="24" t="s">
        <v>476</v>
      </c>
      <c r="L140" s="28" t="str">
        <f>CONCATENATE(SUMIF($C$6:$C140,C140,$G$6:$G$370)," / ",SUMIF($C$6:$C$370,C140,$G$6:$G$370))</f>
        <v>72 / 102</v>
      </c>
      <c r="M140" s="28" t="str">
        <f>CONCATENATE(SUMIF($D$6:$D140,D140,$G$6:$G$370)," / ",SUMIF($D$6:$D$370,D140,$G$6:$G$370))</f>
        <v>72 / 352</v>
      </c>
      <c r="N140" s="28" t="str">
        <f>CONCATENATE(SUM($G$6:$G140)," / ",SUM($G$6:$G$370))</f>
        <v>172 / 2316,5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481</v>
      </c>
      <c r="G141" s="124">
        <v>30</v>
      </c>
      <c r="H141" s="28" t="str">
        <f>CONCATENATE(SUMIF($C$6:$C141,C141,$E$6:$E$370)," / ",SUMIF($C$6:$C$370,C141,$E$6:$E$370))</f>
        <v>9 / 9</v>
      </c>
      <c r="I141" s="28" t="str">
        <f>CONCATENATE(SUMIF($D$6:$D141,D141,$E$6:$E$370)," / ",SUMIF($D$6:$D$370,D141,$E$6:$E$370))</f>
        <v>107 / 165</v>
      </c>
      <c r="J141" s="28" t="str">
        <f>CONCATENATE(SUM($E$6:$E141)," / ",SUM($E$6:$E$370))</f>
        <v>1006 / 2214</v>
      </c>
      <c r="K141" s="24"/>
      <c r="L141" s="28" t="str">
        <f>CONCATENATE(SUMIF($C$6:$C141,C141,$G$6:$G$370)," / ",SUMIF($C$6:$C$370,C141,$G$6:$G$370))</f>
        <v>102 / 102</v>
      </c>
      <c r="M141" s="28" t="str">
        <f>CONCATENATE(SUMIF($D$6:$D141,D141,$G$6:$G$370)," / ",SUMIF($D$6:$D$370,D141,$G$6:$G$370))</f>
        <v>102 / 352</v>
      </c>
      <c r="N141" s="28" t="str">
        <f>CONCATENATE(SUM($G$6:$G141)," / ",SUM($G$6:$G$370))</f>
        <v>202 / 2316,5</v>
      </c>
      <c r="O141" s="24" t="s">
        <v>488</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468</v>
      </c>
      <c r="G142" s="193"/>
      <c r="H142" s="194" t="str">
        <f>CONCATENATE(SUMIF($C$6:$C142,C142,$E$6:$E$370)," / ",SUMIF($C$6:$C$370,C142,$E$6:$E$370))</f>
        <v>23 / 53</v>
      </c>
      <c r="I142" s="194" t="str">
        <f>CONCATENATE(SUMIF($D$6:$D142,D142,$E$6:$E$370)," / ",SUMIF($D$6:$D$370,D142,$E$6:$E$370))</f>
        <v>130 / 165</v>
      </c>
      <c r="J142" s="194" t="str">
        <f>CONCATENATE(SUM($E$6:$E142)," / ",SUM($E$6:$E$370))</f>
        <v>1029 / 2214</v>
      </c>
      <c r="K142" s="196" t="s">
        <v>476</v>
      </c>
      <c r="L142" s="28" t="str">
        <f>CONCATENATE(SUMIF($C$6:$C142,C142,$G$6:$G$370)," / ",SUMIF($C$6:$C$370,C142,$G$6:$G$370))</f>
        <v>0 / 143</v>
      </c>
      <c r="M142" s="28" t="str">
        <f>CONCATENATE(SUMIF($D$6:$D142,D142,$G$6:$G$370)," / ",SUMIF($D$6:$D$370,D142,$G$6:$G$370))</f>
        <v>102 / 352</v>
      </c>
      <c r="N142" s="28" t="str">
        <f>CONCATENATE(SUM($G$6:$G142)," / ",SUM($G$6:$G$370))</f>
        <v>202 / 2316,5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2214</v>
      </c>
      <c r="K143" s="24"/>
      <c r="L143" s="28" t="str">
        <f>CONCATENATE(SUMIF($C$6:$C143,C143,$G$6:$G$370)," / ",SUMIF($C$6:$C$370,C143,$G$6:$G$370))</f>
        <v>0 / 143</v>
      </c>
      <c r="M143" s="28" t="str">
        <f>CONCATENATE(SUMIF($D$6:$D143,D143,$G$6:$G$370)," / ",SUMIF($D$6:$D$370,D143,$G$6:$G$370))</f>
        <v>102 / 352</v>
      </c>
      <c r="N143" s="28" t="str">
        <f>CONCATENATE(SUM($G$6:$G143)," / ",SUM($G$6:$G$370))</f>
        <v>202 / 2316,5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2214</v>
      </c>
      <c r="K144" s="24"/>
      <c r="L144" s="28" t="str">
        <f>CONCATENATE(SUMIF($C$6:$C144,C144,$G$6:$G$370)," / ",SUMIF($C$6:$C$370,C144,$G$6:$G$370))</f>
        <v>41 / 143</v>
      </c>
      <c r="M144" s="28" t="str">
        <f>CONCATENATE(SUMIF($D$6:$D144,D144,$G$6:$G$370)," / ",SUMIF($D$6:$D$370,D144,$G$6:$G$370))</f>
        <v>143 / 352</v>
      </c>
      <c r="N144" s="28" t="str">
        <f>CONCATENATE(SUM($G$6:$G144)," / ",SUM($G$6:$G$370))</f>
        <v>243 / 2316,5</v>
      </c>
      <c r="O144" s="24" t="s">
        <v>488</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2214</v>
      </c>
      <c r="K145" s="24"/>
      <c r="L145" s="28" t="str">
        <f>CONCATENATE(SUMIF($C$6:$C145,C145,$G$6:$G$370)," / ",SUMIF($C$6:$C$370,C145,$G$6:$G$370))</f>
        <v>91 / 143</v>
      </c>
      <c r="M145" s="28" t="str">
        <f>CONCATENATE(SUMIF($D$6:$D145,D145,$G$6:$G$370)," / ",SUMIF($D$6:$D$370,D145,$G$6:$G$370))</f>
        <v>193 / 352</v>
      </c>
      <c r="N145" s="28" t="str">
        <f>CONCATENATE(SUM($G$6:$G145)," / ",SUM($G$6:$G$370))</f>
        <v>293 / 2316,5</v>
      </c>
      <c r="O145" s="24" t="s">
        <v>488</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2214</v>
      </c>
      <c r="K146" s="24" t="s">
        <v>476</v>
      </c>
      <c r="L146" s="28" t="str">
        <f>CONCATENATE(SUMIF($C$6:$C146,C146,$G$6:$G$370)," / ",SUMIF($C$6:$C$370,C146,$G$6:$G$370))</f>
        <v>91 / 143</v>
      </c>
      <c r="M146" s="28" t="str">
        <f>CONCATENATE(SUMIF($D$6:$D146,D146,$G$6:$G$370)," / ",SUMIF($D$6:$D$370,D146,$G$6:$G$370))</f>
        <v>193 / 352</v>
      </c>
      <c r="N146" s="28" t="str">
        <f>CONCATENATE(SUM($G$6:$G146)," / ",SUM($G$6:$G$370))</f>
        <v>293 / 2316,5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2214</v>
      </c>
      <c r="K147" s="24"/>
      <c r="L147" s="28" t="str">
        <f>CONCATENATE(SUMIF($C$6:$C147,C147,$G$6:$G$370)," / ",SUMIF($C$6:$C$370,C147,$G$6:$G$370))</f>
        <v>143 / 143</v>
      </c>
      <c r="M147" s="28" t="str">
        <f>CONCATENATE(SUMIF($D$6:$D147,D147,$G$6:$G$370)," / ",SUMIF($D$6:$D$370,D147,$G$6:$G$370))</f>
        <v>245 / 352</v>
      </c>
      <c r="N147" s="28" t="str">
        <f>CONCATENATE(SUM($G$6:$G147)," / ",SUM($G$6:$G$370))</f>
        <v>345 / 2316,5</v>
      </c>
      <c r="O147" s="24" t="s">
        <v>488</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2214</v>
      </c>
      <c r="K148" s="24" t="s">
        <v>476</v>
      </c>
      <c r="L148" s="28" t="str">
        <f>CONCATENATE(SUMIF($C$6:$C148,C148,$G$6:$G$370)," / ",SUMIF($C$6:$C$370,C148,$G$6:$G$370))</f>
        <v>143 / 143</v>
      </c>
      <c r="M148" s="28" t="str">
        <f>CONCATENATE(SUMIF($D$6:$D148,D148,$G$6:$G$370)," / ",SUMIF($D$6:$D$370,D148,$G$6:$G$370))</f>
        <v>245 / 352</v>
      </c>
      <c r="N148" s="28" t="str">
        <f>CONCATENATE(SUM($G$6:$G148)," / ",SUM($G$6:$G$370))</f>
        <v>345 / 2316,5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2214</v>
      </c>
      <c r="K149" s="24"/>
      <c r="L149" s="28" t="str">
        <f>CONCATENATE(SUMIF($C$6:$C149,C149,$G$6:$G$370)," / ",SUMIF($C$6:$C$370,C149,$G$6:$G$370))</f>
        <v>47 / 122</v>
      </c>
      <c r="M149" s="28" t="str">
        <f>CONCATENATE(SUMIF($D$6:$D149,D149,$G$6:$G$370)," / ",SUMIF($D$6:$D$370,D149,$G$6:$G$370))</f>
        <v>292 / 352</v>
      </c>
      <c r="N149" s="28" t="str">
        <f>CONCATENATE(SUM($G$6:$G149)," / ",SUM($G$6:$G$370))</f>
        <v>392 / 2316,5</v>
      </c>
      <c r="O149" s="24" t="s">
        <v>488</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489</v>
      </c>
      <c r="G150" s="124">
        <v>60</v>
      </c>
      <c r="H150" s="28" t="str">
        <f>CONCATENATE(SUMIF($C$6:$C150,C150,$E$6:$E$370)," / ",SUMIF($C$6:$C$370,C150,$E$6:$E$370))</f>
        <v>5 / 22</v>
      </c>
      <c r="I150" s="28" t="str">
        <f>CONCATENATE(SUMIF($D$6:$D150,D150,$E$6:$E$370)," / ",SUMIF($D$6:$D$370,D150,$E$6:$E$370))</f>
        <v>165 / 165</v>
      </c>
      <c r="J150" s="28" t="str">
        <f>CONCATENATE(SUM($E$6:$E150)," / ",SUM($E$6:$E$370))</f>
        <v>1064 / 2214</v>
      </c>
      <c r="K150" s="24" t="s">
        <v>477</v>
      </c>
      <c r="L150" s="28" t="str">
        <f>CONCATENATE(SUMIF($C$6:$C150,C150,$G$6:$G$370)," / ",SUMIF($C$6:$C$370,C150,$G$6:$G$370))</f>
        <v>107 / 122</v>
      </c>
      <c r="M150" s="28" t="str">
        <f>CONCATENATE(SUMIF($D$6:$D150,D150,$G$6:$G$370)," / ",SUMIF($D$6:$D$370,D150,$G$6:$G$370))</f>
        <v>352 / 352</v>
      </c>
      <c r="N150" s="28" t="str">
        <f>CONCATENATE(SUM($G$6:$G150)," / ",SUM($G$6:$G$370))</f>
        <v>452 / 2316,5</v>
      </c>
      <c r="O150" s="24" t="s">
        <v>488</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2214</v>
      </c>
      <c r="K151" s="24"/>
      <c r="L151" s="28" t="str">
        <f>CONCATENATE(SUMIF($C$6:$C151,C151,$G$6:$G$370)," / ",SUMIF($C$6:$C$370,C151,$G$6:$G$370))</f>
        <v>107 / 122</v>
      </c>
      <c r="M151" s="28" t="str">
        <f>CONCATENATE(SUMIF($D$6:$D151,D151,$G$6:$G$370)," / ",SUMIF($D$6:$D$370,D151,$G$6:$G$370))</f>
        <v>352 / 352</v>
      </c>
      <c r="N151" s="28" t="str">
        <f>CONCATENATE(SUM($G$6:$G151)," / ",SUM($G$6:$G$370))</f>
        <v>452 / 2316,5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2214</v>
      </c>
      <c r="K152" s="24"/>
      <c r="L152" s="28" t="str">
        <f>CONCATENATE(SUMIF($C$6:$C152,C152,$G$6:$G$370)," / ",SUMIF($C$6:$C$370,C152,$G$6:$G$370))</f>
        <v>107 / 122</v>
      </c>
      <c r="M152" s="28" t="str">
        <f>CONCATENATE(SUMIF($D$6:$D152,D152,$G$6:$G$370)," / ",SUMIF($D$6:$D$370,D152,$G$6:$G$370))</f>
        <v>0 / 449</v>
      </c>
      <c r="N152" s="28" t="str">
        <f>CONCATENATE(SUM($G$6:$G152)," / ",SUM($G$6:$G$370))</f>
        <v>452 / 2316,5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2214</v>
      </c>
      <c r="K153" s="24"/>
      <c r="L153" s="28" t="str">
        <f>CONCATENATE(SUMIF($C$6:$C153,C153,$G$6:$G$370)," / ",SUMIF($C$6:$C$370,C153,$G$6:$G$370))</f>
        <v>107 / 122</v>
      </c>
      <c r="M153" s="28" t="str">
        <f>CONCATENATE(SUMIF($D$6:$D153,D153,$G$6:$G$370)," / ",SUMIF($D$6:$D$370,D153,$G$6:$G$370))</f>
        <v>0 / 449</v>
      </c>
      <c r="N153" s="28" t="str">
        <f>CONCATENATE(SUM($G$6:$G153)," / ",SUM($G$6:$G$370))</f>
        <v>452 / 2316,5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492</v>
      </c>
      <c r="G154" s="124">
        <v>15</v>
      </c>
      <c r="H154" s="28" t="str">
        <f>CONCATENATE(SUMIF($C$6:$C154,C154,$E$6:$E$370)," / ",SUMIF($C$6:$C$370,C154,$E$6:$E$370))</f>
        <v>5 / 22</v>
      </c>
      <c r="I154" s="28" t="str">
        <f>CONCATENATE(SUMIF($D$6:$D154,D154,$E$6:$E$370)," / ",SUMIF($D$6:$D$370,D154,$E$6:$E$370))</f>
        <v>0 / 131,5</v>
      </c>
      <c r="J154" s="28" t="str">
        <f>CONCATENATE(SUM($E$6:$E154)," / ",SUM($E$6:$E$370))</f>
        <v>1064 / 2214</v>
      </c>
      <c r="K154" s="24"/>
      <c r="L154" s="28" t="str">
        <f>CONCATENATE(SUMIF($C$6:$C154,C154,$G$6:$G$370)," / ",SUMIF($C$6:$C$370,C154,$G$6:$G$370))</f>
        <v>122 / 122</v>
      </c>
      <c r="M154" s="28" t="str">
        <f>CONCATENATE(SUMIF($D$6:$D154,D154,$G$6:$G$370)," / ",SUMIF($D$6:$D$370,D154,$G$6:$G$370))</f>
        <v>15 / 449</v>
      </c>
      <c r="N154" s="28" t="str">
        <f>CONCATENATE(SUM($G$6:$G154)," / ",SUM($G$6:$G$370))</f>
        <v>467 / 2316,5</v>
      </c>
      <c r="O154" s="24" t="s">
        <v>488</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490</v>
      </c>
      <c r="G155" s="124"/>
      <c r="H155" s="28" t="str">
        <f>CONCATENATE(SUMIF($C$6:$C155,C155,$E$6:$E$370)," / ",SUMIF($C$6:$C$370,C155,$E$6:$E$370))</f>
        <v>22 / 22</v>
      </c>
      <c r="I155" s="28" t="str">
        <f>CONCATENATE(SUMIF($D$6:$D155,D155,$E$6:$E$370)," / ",SUMIF($D$6:$D$370,D155,$E$6:$E$370))</f>
        <v>17 / 131,5</v>
      </c>
      <c r="J155" s="28" t="str">
        <f>CONCATENATE(SUM($E$6:$E155)," / ",SUM($E$6:$E$370))</f>
        <v>1081 / 2214</v>
      </c>
      <c r="K155" s="24" t="s">
        <v>476</v>
      </c>
      <c r="L155" s="28" t="str">
        <f>CONCATENATE(SUMIF($C$6:$C155,C155,$G$6:$G$370)," / ",SUMIF($C$6:$C$370,C155,$G$6:$G$370))</f>
        <v>122 / 122</v>
      </c>
      <c r="M155" s="28" t="str">
        <f>CONCATENATE(SUMIF($D$6:$D155,D155,$G$6:$G$370)," / ",SUMIF($D$6:$D$370,D155,$G$6:$G$370))</f>
        <v>15 / 449</v>
      </c>
      <c r="N155" s="28" t="str">
        <f>CONCATENATE(SUM($G$6:$G155)," / ",SUM($G$6:$G$370))</f>
        <v>467 / 2316,5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491</v>
      </c>
      <c r="G156" s="124">
        <v>64</v>
      </c>
      <c r="H156" s="28" t="str">
        <f>CONCATENATE(SUMIF($C$6:$C156,C156,$E$6:$E$370)," / ",SUMIF($C$6:$C$370,C156,$E$6:$E$370))</f>
        <v>0 / 48</v>
      </c>
      <c r="I156" s="28" t="str">
        <f>CONCATENATE(SUMIF($D$6:$D156,D156,$E$6:$E$370)," / ",SUMIF($D$6:$D$370,D156,$E$6:$E$370))</f>
        <v>17 / 131,5</v>
      </c>
      <c r="J156" s="28" t="str">
        <f>CONCATENATE(SUM($E$6:$E156)," / ",SUM($E$6:$E$370))</f>
        <v>1081 / 2214</v>
      </c>
      <c r="K156" s="24"/>
      <c r="L156" s="28" t="str">
        <f>CONCATENATE(SUMIF($C$6:$C156,C156,$G$6:$G$370)," / ",SUMIF($C$6:$C$370,C156,$G$6:$G$370))</f>
        <v>64 / 124</v>
      </c>
      <c r="M156" s="28" t="str">
        <f>CONCATENATE(SUMIF($D$6:$D156,D156,$G$6:$G$370)," / ",SUMIF($D$6:$D$370,D156,$G$6:$G$370))</f>
        <v>79 / 449</v>
      </c>
      <c r="N156" s="28" t="str">
        <f>CONCATENATE(SUM($G$6:$G156)," / ",SUM($G$6:$G$370))</f>
        <v>531 / 2316,5</v>
      </c>
      <c r="O156" s="24" t="s">
        <v>488</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493</v>
      </c>
      <c r="G157" s="124"/>
      <c r="H157" s="28" t="str">
        <f>CONCATENATE(SUMIF($C$6:$C157,C157,$E$6:$E$370)," / ",SUMIF($C$6:$C$370,C157,$E$6:$E$370))</f>
        <v>16 / 48</v>
      </c>
      <c r="I157" s="28" t="str">
        <f>CONCATENATE(SUMIF($D$6:$D157,D157,$E$6:$E$370)," / ",SUMIF($D$6:$D$370,D157,$E$6:$E$370))</f>
        <v>33 / 131,5</v>
      </c>
      <c r="J157" s="28" t="str">
        <f>CONCATENATE(SUM($E$6:$E157)," / ",SUM($E$6:$E$370))</f>
        <v>1097 / 2214</v>
      </c>
      <c r="K157" s="24" t="s">
        <v>476</v>
      </c>
      <c r="L157" s="28" t="str">
        <f>CONCATENATE(SUMIF($C$6:$C157,C157,$G$6:$G$370)," / ",SUMIF($C$6:$C$370,C157,$G$6:$G$370))</f>
        <v>64 / 124</v>
      </c>
      <c r="M157" s="28" t="str">
        <f>CONCATENATE(SUMIF($D$6:$D157,D157,$G$6:$G$370)," / ",SUMIF($D$6:$D$370,D157,$G$6:$G$370))</f>
        <v>79 / 449</v>
      </c>
      <c r="N157" s="28" t="str">
        <f>CONCATENATE(SUM($G$6:$G157)," / ",SUM($G$6:$G$370))</f>
        <v>531 / 2316,5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497</v>
      </c>
      <c r="G158" s="124"/>
      <c r="H158" s="28" t="str">
        <f>CONCATENATE(SUMIF($C$6:$C158,C158,$E$6:$E$370)," / ",SUMIF($C$6:$C$370,C158,$E$6:$E$370))</f>
        <v>16 / 48</v>
      </c>
      <c r="I158" s="28" t="str">
        <f>CONCATENATE(SUMIF($D$6:$D158,D158,$E$6:$E$370)," / ",SUMIF($D$6:$D$370,D158,$E$6:$E$370))</f>
        <v>33 / 131,5</v>
      </c>
      <c r="J158" s="28" t="str">
        <f>CONCATENATE(SUM($E$6:$E158)," / ",SUM($E$6:$E$370))</f>
        <v>1097 / 2214</v>
      </c>
      <c r="K158" s="24"/>
      <c r="L158" s="28" t="str">
        <f>CONCATENATE(SUMIF($C$6:$C158,C158,$G$6:$G$370)," / ",SUMIF($C$6:$C$370,C158,$G$6:$G$370))</f>
        <v>64 / 124</v>
      </c>
      <c r="M158" s="28" t="str">
        <f>CONCATENATE(SUMIF($D$6:$D158,D158,$G$6:$G$370)," / ",SUMIF($D$6:$D$370,D158,$G$6:$G$370))</f>
        <v>79 / 449</v>
      </c>
      <c r="N158" s="28" t="str">
        <f>CONCATENATE(SUM($G$6:$G158)," / ",SUM($G$6:$G$370))</f>
        <v>531 / 2316,5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509</v>
      </c>
      <c r="G159" s="124">
        <v>38</v>
      </c>
      <c r="H159" s="28" t="str">
        <f>CONCATENATE(SUMIF($C$6:$C159,C159,$E$6:$E$370)," / ",SUMIF($C$6:$C$370,C159,$E$6:$E$370))</f>
        <v>16 / 48</v>
      </c>
      <c r="I159" s="28" t="str">
        <f>CONCATENATE(SUMIF($D$6:$D159,D159,$E$6:$E$370)," / ",SUMIF($D$6:$D$370,D159,$E$6:$E$370))</f>
        <v>33 / 131,5</v>
      </c>
      <c r="J159" s="28" t="str">
        <f>CONCATENATE(SUM($E$6:$E159)," / ",SUM($E$6:$E$370))</f>
        <v>1097 / 2214</v>
      </c>
      <c r="K159" s="24"/>
      <c r="L159" s="28" t="str">
        <f>CONCATENATE(SUMIF($C$6:$C159,C159,$G$6:$G$370)," / ",SUMIF($C$6:$C$370,C159,$G$6:$G$370))</f>
        <v>102 / 124</v>
      </c>
      <c r="M159" s="28" t="str">
        <f>CONCATENATE(SUMIF($D$6:$D159,D159,$G$6:$G$370)," / ",SUMIF($D$6:$D$370,D159,$G$6:$G$370))</f>
        <v>117 / 449</v>
      </c>
      <c r="N159" s="28" t="str">
        <f>CONCATENATE(SUM($G$6:$G159)," / ",SUM($G$6:$G$370))</f>
        <v>569 / 2316,5</v>
      </c>
      <c r="O159" s="24" t="s">
        <v>488</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494</v>
      </c>
      <c r="G160" s="124">
        <v>15</v>
      </c>
      <c r="H160" s="28" t="str">
        <f>CONCATENATE(SUMIF($C$6:$C160,C160,$E$6:$E$370)," / ",SUMIF($C$6:$C$370,C160,$E$6:$E$370))</f>
        <v>30 / 48</v>
      </c>
      <c r="I160" s="28" t="str">
        <f>CONCATENATE(SUMIF($D$6:$D160,D160,$E$6:$E$370)," / ",SUMIF($D$6:$D$370,D160,$E$6:$E$370))</f>
        <v>47 / 131,5</v>
      </c>
      <c r="J160" s="28" t="str">
        <f>CONCATENATE(SUM($E$6:$E160)," / ",SUM($E$6:$E$370))</f>
        <v>1111 / 2214</v>
      </c>
      <c r="K160" s="24" t="s">
        <v>476</v>
      </c>
      <c r="L160" s="28" t="str">
        <f>CONCATENATE(SUMIF($C$6:$C160,C160,$G$6:$G$370)," / ",SUMIF($C$6:$C$370,C160,$G$6:$G$370))</f>
        <v>117 / 124</v>
      </c>
      <c r="M160" s="28" t="str">
        <f>CONCATENATE(SUMIF($D$6:$D160,D160,$G$6:$G$370)," / ",SUMIF($D$6:$D$370,D160,$G$6:$G$370))</f>
        <v>132 / 449</v>
      </c>
      <c r="N160" s="28" t="str">
        <f>CONCATENATE(SUM($G$6:$G160)," / ",SUM($G$6:$G$370))</f>
        <v>584 / 2316,5</v>
      </c>
      <c r="O160" s="24" t="s">
        <v>488</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2214</v>
      </c>
      <c r="K161" s="24"/>
      <c r="L161" s="28" t="str">
        <f>CONCATENATE(SUMIF($C$6:$C161,C161,$G$6:$G$370)," / ",SUMIF($C$6:$C$370,C161,$G$6:$G$370))</f>
        <v>117 / 124</v>
      </c>
      <c r="M161" s="28" t="str">
        <f>CONCATENATE(SUMIF($D$6:$D161,D161,$G$6:$G$370)," / ",SUMIF($D$6:$D$370,D161,$G$6:$G$370))</f>
        <v>132 / 449</v>
      </c>
      <c r="N161" s="28" t="str">
        <f>CONCATENATE(SUM($G$6:$G161)," / ",SUM($G$6:$G$370))</f>
        <v>584 / 2316,5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498</v>
      </c>
      <c r="G162" s="124">
        <v>7</v>
      </c>
      <c r="H162" s="28" t="str">
        <f>CONCATENATE(SUMIF($C$6:$C162,C162,$E$6:$E$370)," / ",SUMIF($C$6:$C$370,C162,$E$6:$E$370))</f>
        <v>48 / 48</v>
      </c>
      <c r="I162" s="28" t="str">
        <f>CONCATENATE(SUMIF($D$6:$D162,D162,$E$6:$E$370)," / ",SUMIF($D$6:$D$370,D162,$E$6:$E$370))</f>
        <v>65 / 131,5</v>
      </c>
      <c r="J162" s="28" t="str">
        <f>CONCATENATE(SUM($E$6:$E162)," / ",SUM($E$6:$E$370))</f>
        <v>1129 / 2214</v>
      </c>
      <c r="K162" s="24" t="s">
        <v>476</v>
      </c>
      <c r="L162" s="28" t="str">
        <f>CONCATENATE(SUMIF($C$6:$C162,C162,$G$6:$G$370)," / ",SUMIF($C$6:$C$370,C162,$G$6:$G$370))</f>
        <v>124 / 124</v>
      </c>
      <c r="M162" s="28" t="str">
        <f>CONCATENATE(SUMIF($D$6:$D162,D162,$G$6:$G$370)," / ",SUMIF($D$6:$D$370,D162,$G$6:$G$370))</f>
        <v>139 / 449</v>
      </c>
      <c r="N162" s="28" t="str">
        <f>CONCATENATE(SUM($G$6:$G162)," / ",SUM($G$6:$G$370))</f>
        <v>591 / 2316,5</v>
      </c>
      <c r="O162" s="24" t="s">
        <v>488</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499</v>
      </c>
      <c r="G163" s="124">
        <v>60</v>
      </c>
      <c r="H163" s="28" t="str">
        <f>CONCATENATE(SUMIF($C$6:$C163,C163,$E$6:$E$370)," / ",SUMIF($C$6:$C$370,C163,$E$6:$E$370))</f>
        <v>0 / 0</v>
      </c>
      <c r="I163" s="28" t="str">
        <f>CONCATENATE(SUMIF($D$6:$D163,D163,$E$6:$E$370)," / ",SUMIF($D$6:$D$370,D163,$E$6:$E$370))</f>
        <v>65 / 131,5</v>
      </c>
      <c r="J163" s="28" t="str">
        <f>CONCATENATE(SUM($E$6:$E163)," / ",SUM($E$6:$E$370))</f>
        <v>1129 / 2214</v>
      </c>
      <c r="K163" s="24"/>
      <c r="L163" s="28" t="str">
        <f>CONCATENATE(SUMIF($C$6:$C163,C163,$G$6:$G$370)," / ",SUMIF($C$6:$C$370,C163,$G$6:$G$370))</f>
        <v>60 / 105</v>
      </c>
      <c r="M163" s="28" t="str">
        <f>CONCATENATE(SUMIF($D$6:$D163,D163,$G$6:$G$370)," / ",SUMIF($D$6:$D$370,D163,$G$6:$G$370))</f>
        <v>199 / 449</v>
      </c>
      <c r="N163" s="28" t="str">
        <f>CONCATENATE(SUM($G$6:$G163)," / ",SUM($G$6:$G$370))</f>
        <v>651 / 2316,5</v>
      </c>
      <c r="O163" s="25" t="s">
        <v>488</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500</v>
      </c>
      <c r="G164" s="124">
        <v>35</v>
      </c>
      <c r="H164" s="28" t="str">
        <f>CONCATENATE(SUMIF($C$6:$C164,C164,$E$6:$E$370)," / ",SUMIF($C$6:$C$370,C164,$E$6:$E$370))</f>
        <v>0 / 0</v>
      </c>
      <c r="I164" s="28" t="str">
        <f>CONCATENATE(SUMIF($D$6:$D164,D164,$E$6:$E$370)," / ",SUMIF($D$6:$D$370,D164,$E$6:$E$370))</f>
        <v>65 / 131,5</v>
      </c>
      <c r="J164" s="28" t="str">
        <f>CONCATENATE(SUM($E$6:$E164)," / ",SUM($E$6:$E$370))</f>
        <v>1129 / 2214</v>
      </c>
      <c r="K164" s="24"/>
      <c r="L164" s="28" t="str">
        <f>CONCATENATE(SUMIF($C$6:$C164,C164,$G$6:$G$370)," / ",SUMIF($C$6:$C$370,C164,$G$6:$G$370))</f>
        <v>95 / 105</v>
      </c>
      <c r="M164" s="28" t="str">
        <f>CONCATENATE(SUMIF($D$6:$D164,D164,$G$6:$G$370)," / ",SUMIF($D$6:$D$370,D164,$G$6:$G$370))</f>
        <v>234 / 449</v>
      </c>
      <c r="N164" s="28" t="str">
        <f>CONCATENATE(SUM($G$6:$G164)," / ",SUM($G$6:$G$370))</f>
        <v>686 / 2316,5</v>
      </c>
      <c r="O164" s="24" t="s">
        <v>488</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501</v>
      </c>
      <c r="G165" s="124"/>
      <c r="H165" s="28" t="str">
        <f>CONCATENATE(SUMIF($C$6:$C165,C165,$E$6:$E$370)," / ",SUMIF($C$6:$C$370,C165,$E$6:$E$370))</f>
        <v>0 / 0</v>
      </c>
      <c r="I165" s="28" t="str">
        <f>CONCATENATE(SUMIF($D$6:$D165,D165,$E$6:$E$370)," / ",SUMIF($D$6:$D$370,D165,$E$6:$E$370))</f>
        <v>65 / 131,5</v>
      </c>
      <c r="J165" s="28" t="str">
        <f>CONCATENATE(SUM($E$6:$E165)," / ",SUM($E$6:$E$370))</f>
        <v>1129 / 2214</v>
      </c>
      <c r="K165" s="24"/>
      <c r="L165" s="28" t="str">
        <f>CONCATENATE(SUMIF($C$6:$C165,C165,$G$6:$G$370)," / ",SUMIF($C$6:$C$370,C165,$G$6:$G$370))</f>
        <v>95 / 105</v>
      </c>
      <c r="M165" s="28" t="str">
        <f>CONCATENATE(SUMIF($D$6:$D165,D165,$G$6:$G$370)," / ",SUMIF($D$6:$D$370,D165,$G$6:$G$370))</f>
        <v>234 / 449</v>
      </c>
      <c r="N165" s="28" t="str">
        <f>CONCATENATE(SUM($G$6:$G165)," / ",SUM($G$6:$G$370))</f>
        <v>686 / 2316,5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2214</v>
      </c>
      <c r="K166" s="24"/>
      <c r="L166" s="28" t="str">
        <f>CONCATENATE(SUMIF($C$6:$C166,C166,$G$6:$G$370)," / ",SUMIF($C$6:$C$370,C166,$G$6:$G$370))</f>
        <v>95 / 105</v>
      </c>
      <c r="M166" s="28" t="str">
        <f>CONCATENATE(SUMIF($D$6:$D166,D166,$G$6:$G$370)," / ",SUMIF($D$6:$D$370,D166,$G$6:$G$370))</f>
        <v>234 / 449</v>
      </c>
      <c r="N166" s="28" t="str">
        <f>CONCATENATE(SUM($G$6:$G166)," / ",SUM($G$6:$G$370))</f>
        <v>686 / 2316,5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501</v>
      </c>
      <c r="G167" s="124">
        <v>10</v>
      </c>
      <c r="H167" s="28" t="str">
        <f>CONCATENATE(SUMIF($C$6:$C167,C167,$E$6:$E$370)," / ",SUMIF($C$6:$C$370,C167,$E$6:$E$370))</f>
        <v>0 / 0</v>
      </c>
      <c r="I167" s="28" t="str">
        <f>CONCATENATE(SUMIF($D$6:$D167,D167,$E$6:$E$370)," / ",SUMIF($D$6:$D$370,D167,$E$6:$E$370))</f>
        <v>65 / 131,5</v>
      </c>
      <c r="J167" s="28" t="str">
        <f>CONCATENATE(SUM($E$6:$E167)," / ",SUM($E$6:$E$370))</f>
        <v>1129 / 2214</v>
      </c>
      <c r="K167" s="24"/>
      <c r="L167" s="28" t="str">
        <f>CONCATENATE(SUMIF($C$6:$C167,C167,$G$6:$G$370)," / ",SUMIF($C$6:$C$370,C167,$G$6:$G$370))</f>
        <v>105 / 105</v>
      </c>
      <c r="M167" s="28" t="str">
        <f>CONCATENATE(SUMIF($D$6:$D167,D167,$G$6:$G$370)," / ",SUMIF($D$6:$D$370,D167,$G$6:$G$370))</f>
        <v>244 / 449</v>
      </c>
      <c r="N167" s="28" t="str">
        <f>CONCATENATE(SUM($G$6:$G167)," / ",SUM($G$6:$G$370))</f>
        <v>696 / 2316,5</v>
      </c>
      <c r="O167" s="24" t="s">
        <v>488</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502</v>
      </c>
      <c r="G168" s="124"/>
      <c r="H168" s="28" t="str">
        <f>CONCATENATE(SUMIF($C$6:$C168,C168,$E$6:$E$370)," / ",SUMIF($C$6:$C$370,C168,$E$6:$E$370))</f>
        <v>0 / 0</v>
      </c>
      <c r="I168" s="28" t="str">
        <f>CONCATENATE(SUMIF($D$6:$D168,D168,$E$6:$E$370)," / ",SUMIF($D$6:$D$370,D168,$E$6:$E$370))</f>
        <v>65 / 131,5</v>
      </c>
      <c r="J168" s="28" t="str">
        <f>CONCATENATE(SUM($E$6:$E168)," / ",SUM($E$6:$E$370))</f>
        <v>1129 / 2214</v>
      </c>
      <c r="K168" s="24"/>
      <c r="L168" s="28" t="str">
        <f>CONCATENATE(SUMIF($C$6:$C168,C168,$G$6:$G$370)," / ",SUMIF($C$6:$C$370,C168,$G$6:$G$370))</f>
        <v>105 / 105</v>
      </c>
      <c r="M168" s="28" t="str">
        <f>CONCATENATE(SUMIF($D$6:$D168,D168,$G$6:$G$370)," / ",SUMIF($D$6:$D$370,D168,$G$6:$G$370))</f>
        <v>244 / 449</v>
      </c>
      <c r="N168" s="28" t="str">
        <f>CONCATENATE(SUM($G$6:$G168)," / ",SUM($G$6:$G$370))</f>
        <v>696 / 2316,5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2214</v>
      </c>
      <c r="K169" s="24"/>
      <c r="L169" s="28" t="str">
        <f>CONCATENATE(SUMIF($C$6:$C169,C169,$G$6:$G$370)," / ",SUMIF($C$6:$C$370,C169,$G$6:$G$370))</f>
        <v>105 / 105</v>
      </c>
      <c r="M169" s="28" t="str">
        <f>CONCATENATE(SUMIF($D$6:$D169,D169,$G$6:$G$370)," / ",SUMIF($D$6:$D$370,D169,$G$6:$G$370))</f>
        <v>244 / 449</v>
      </c>
      <c r="N169" s="28" t="str">
        <f>CONCATENATE(SUM($G$6:$G169)," / ",SUM($G$6:$G$370))</f>
        <v>696 / 2316,5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463</v>
      </c>
      <c r="G170" s="193">
        <v>65</v>
      </c>
      <c r="H170" s="194" t="str">
        <f>CONCATENATE(SUMIF($C$6:$C170,C170,$E$6:$E$370)," / ",SUMIF($C$6:$C$370,C170,$E$6:$E$370))</f>
        <v>27,5 / 56,5</v>
      </c>
      <c r="I170" s="194" t="str">
        <f>CONCATENATE(SUMIF($D$6:$D170,D170,$E$6:$E$370)," / ",SUMIF($D$6:$D$370,D170,$E$6:$E$370))</f>
        <v>92,5 / 131,5</v>
      </c>
      <c r="J170" s="194" t="str">
        <f>CONCATENATE(SUM($E$6:$E170)," / ",SUM($E$6:$E$370))</f>
        <v>1156,5 / 2214</v>
      </c>
      <c r="K170" s="196" t="s">
        <v>476</v>
      </c>
      <c r="L170" s="28" t="str">
        <f>CONCATENATE(SUMIF($C$6:$C170,C170,$G$6:$G$370)," / ",SUMIF($C$6:$C$370,C170,$G$6:$G$370))</f>
        <v>65 / 120</v>
      </c>
      <c r="M170" s="28" t="str">
        <f>CONCATENATE(SUMIF($D$6:$D170,D170,$G$6:$G$370)," / ",SUMIF($D$6:$D$370,D170,$G$6:$G$370))</f>
        <v>309 / 449</v>
      </c>
      <c r="N170" s="28" t="str">
        <f>CONCATENATE(SUM($G$6:$G170)," / ",SUM($G$6:$G$370))</f>
        <v>761 / 2316,5</v>
      </c>
      <c r="O170" s="24" t="s">
        <v>488</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505</v>
      </c>
      <c r="G171" s="124">
        <v>15</v>
      </c>
      <c r="H171" s="28" t="str">
        <f>CONCATENATE(SUMIF($C$6:$C171,C171,$E$6:$E$370)," / ",SUMIF($C$6:$C$370,C171,$E$6:$E$370))</f>
        <v>27,5 / 56,5</v>
      </c>
      <c r="I171" s="28" t="str">
        <f>CONCATENATE(SUMIF($D$6:$D171,D171,$E$6:$E$370)," / ",SUMIF($D$6:$D$370,D171,$E$6:$E$370))</f>
        <v>92,5 / 131,5</v>
      </c>
      <c r="J171" s="28" t="str">
        <f>CONCATENATE(SUM($E$6:$E171)," / ",SUM($E$6:$E$370))</f>
        <v>1156,5 / 2214</v>
      </c>
      <c r="K171" s="24"/>
      <c r="L171" s="28" t="str">
        <f>CONCATENATE(SUMIF($C$6:$C171,C171,$G$6:$G$370)," / ",SUMIF($C$6:$C$370,C171,$G$6:$G$370))</f>
        <v>80 / 120</v>
      </c>
      <c r="M171" s="28" t="str">
        <f>CONCATENATE(SUMIF($D$6:$D171,D171,$G$6:$G$370)," / ",SUMIF($D$6:$D$370,D171,$G$6:$G$370))</f>
        <v>324 / 449</v>
      </c>
      <c r="N171" s="28" t="str">
        <f>CONCATENATE(SUM($G$6:$G171)," / ",SUM($G$6:$G$370))</f>
        <v>776 / 2316,5</v>
      </c>
      <c r="O171" s="24" t="s">
        <v>488</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504</v>
      </c>
      <c r="G172" s="124">
        <v>15</v>
      </c>
      <c r="H172" s="28" t="str">
        <f>CONCATENATE(SUMIF($C$6:$C172,C172,$E$6:$E$370)," / ",SUMIF($C$6:$C$370,C172,$E$6:$E$370))</f>
        <v>27,5 / 56,5</v>
      </c>
      <c r="I172" s="28" t="str">
        <f>CONCATENATE(SUMIF($D$6:$D172,D172,$E$6:$E$370)," / ",SUMIF($D$6:$D$370,D172,$E$6:$E$370))</f>
        <v>92,5 / 131,5</v>
      </c>
      <c r="J172" s="28" t="str">
        <f>CONCATENATE(SUM($E$6:$E172)," / ",SUM($E$6:$E$370))</f>
        <v>1156,5 / 2214</v>
      </c>
      <c r="K172" s="24"/>
      <c r="L172" s="28" t="str">
        <f>CONCATENATE(SUMIF($C$6:$C172,C172,$G$6:$G$370)," / ",SUMIF($C$6:$C$370,C172,$G$6:$G$370))</f>
        <v>95 / 120</v>
      </c>
      <c r="M172" s="28" t="str">
        <f>CONCATENATE(SUMIF($D$6:$D172,D172,$G$6:$G$370)," / ",SUMIF($D$6:$D$370,D172,$G$6:$G$370))</f>
        <v>339 / 449</v>
      </c>
      <c r="N172" s="28" t="str">
        <f>CONCATENATE(SUM($G$6:$G172)," / ",SUM($G$6:$G$370))</f>
        <v>791 / 2316,5</v>
      </c>
      <c r="O172" s="24" t="s">
        <v>488</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2214</v>
      </c>
      <c r="K173" s="24"/>
      <c r="L173" s="28" t="str">
        <f>CONCATENATE(SUMIF($C$6:$C173,C173,$G$6:$G$370)," / ",SUMIF($C$6:$C$370,C173,$G$6:$G$370))</f>
        <v>95 / 120</v>
      </c>
      <c r="M173" s="28" t="str">
        <f>CONCATENATE(SUMIF($D$6:$D173,D173,$G$6:$G$370)," / ",SUMIF($D$6:$D$370,D173,$G$6:$G$370))</f>
        <v>339 / 449</v>
      </c>
      <c r="N173" s="28" t="str">
        <f>CONCATENATE(SUM($G$6:$G173)," / ",SUM($G$6:$G$370))</f>
        <v>791 / 2316,5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506</v>
      </c>
      <c r="G174" s="124"/>
      <c r="H174" s="28" t="str">
        <f>CONCATENATE(SUMIF($C$6:$C174,C174,$E$6:$E$370)," / ",SUMIF($C$6:$C$370,C174,$E$6:$E$370))</f>
        <v>41,5 / 56,5</v>
      </c>
      <c r="I174" s="28" t="str">
        <f>CONCATENATE(SUMIF($D$6:$D174,D174,$E$6:$E$370)," / ",SUMIF($D$6:$D$370,D174,$E$6:$E$370))</f>
        <v>106,5 / 131,5</v>
      </c>
      <c r="J174" s="28" t="str">
        <f>CONCATENATE(SUM($E$6:$E174)," / ",SUM($E$6:$E$370))</f>
        <v>1170,5 / 2214</v>
      </c>
      <c r="K174" s="24" t="s">
        <v>476</v>
      </c>
      <c r="L174" s="28" t="str">
        <f>CONCATENATE(SUMIF($C$6:$C174,C174,$G$6:$G$370)," / ",SUMIF($C$6:$C$370,C174,$G$6:$G$370))</f>
        <v>95 / 120</v>
      </c>
      <c r="M174" s="28" t="str">
        <f>CONCATENATE(SUMIF($D$6:$D174,D174,$G$6:$G$370)," / ",SUMIF($D$6:$D$370,D174,$G$6:$G$370))</f>
        <v>339 / 449</v>
      </c>
      <c r="N174" s="28" t="str">
        <f>CONCATENATE(SUM($G$6:$G174)," / ",SUM($G$6:$G$370))</f>
        <v>791 / 2316,5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505</v>
      </c>
      <c r="G175" s="124">
        <v>15</v>
      </c>
      <c r="H175" s="28" t="str">
        <f>CONCATENATE(SUMIF($C$6:$C175,C175,$E$6:$E$370)," / ",SUMIF($C$6:$C$370,C175,$E$6:$E$370))</f>
        <v>41,5 / 56,5</v>
      </c>
      <c r="I175" s="28" t="str">
        <f>CONCATENATE(SUMIF($D$6:$D175,D175,$E$6:$E$370)," / ",SUMIF($D$6:$D$370,D175,$E$6:$E$370))</f>
        <v>106,5 / 131,5</v>
      </c>
      <c r="J175" s="28" t="str">
        <f>CONCATENATE(SUM($E$6:$E175)," / ",SUM($E$6:$E$370))</f>
        <v>1170,5 / 2214</v>
      </c>
      <c r="K175" s="24"/>
      <c r="L175" s="28" t="str">
        <f>CONCATENATE(SUMIF($C$6:$C175,C175,$G$6:$G$370)," / ",SUMIF($C$6:$C$370,C175,$G$6:$G$370))</f>
        <v>110 / 120</v>
      </c>
      <c r="M175" s="28" t="str">
        <f>CONCATENATE(SUMIF($D$6:$D175,D175,$G$6:$G$370)," / ",SUMIF($D$6:$D$370,D175,$G$6:$G$370))</f>
        <v>354 / 449</v>
      </c>
      <c r="N175" s="28" t="str">
        <f>CONCATENATE(SUM($G$6:$G175)," / ",SUM($G$6:$G$370))</f>
        <v>806 / 2316,5</v>
      </c>
      <c r="O175" s="25" t="s">
        <v>488</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507</v>
      </c>
      <c r="G176" s="124">
        <v>10</v>
      </c>
      <c r="H176" s="28" t="str">
        <f>CONCATENATE(SUMIF($C$6:$C176,C176,$E$6:$E$370)," / ",SUMIF($C$6:$C$370,C176,$E$6:$E$370))</f>
        <v>56,5 / 56,5</v>
      </c>
      <c r="I176" s="28" t="str">
        <f>CONCATENATE(SUMIF($D$6:$D176,D176,$E$6:$E$370)," / ",SUMIF($D$6:$D$370,D176,$E$6:$E$370))</f>
        <v>121,5 / 131,5</v>
      </c>
      <c r="J176" s="28" t="str">
        <f>CONCATENATE(SUM($E$6:$E176)," / ",SUM($E$6:$E$370))</f>
        <v>1185,5 / 2214</v>
      </c>
      <c r="K176" s="25" t="s">
        <v>476</v>
      </c>
      <c r="L176" s="28" t="str">
        <f>CONCATENATE(SUMIF($C$6:$C176,C176,$G$6:$G$370)," / ",SUMIF($C$6:$C$370,C176,$G$6:$G$370))</f>
        <v>120 / 120</v>
      </c>
      <c r="M176" s="28" t="str">
        <f>CONCATENATE(SUMIF($D$6:$D176,D176,$G$6:$G$370)," / ",SUMIF($D$6:$D$370,D176,$G$6:$G$370))</f>
        <v>364 / 449</v>
      </c>
      <c r="N176" s="28" t="str">
        <f>CONCATENATE(SUM($G$6:$G176)," / ",SUM($G$6:$G$370))</f>
        <v>816 / 2316,5</v>
      </c>
      <c r="O176" s="24" t="s">
        <v>488</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508</v>
      </c>
      <c r="G177" s="124">
        <v>15</v>
      </c>
      <c r="H177" s="28" t="str">
        <f>CONCATENATE(SUMIF($C$6:$C177,C177,$E$6:$E$370)," / ",SUMIF($C$6:$C$370,C177,$E$6:$E$370))</f>
        <v>0 / 27</v>
      </c>
      <c r="I177" s="28" t="str">
        <f>CONCATENATE(SUMIF($D$6:$D177,D177,$E$6:$E$370)," / ",SUMIF($D$6:$D$370,D177,$E$6:$E$370))</f>
        <v>121,5 / 131,5</v>
      </c>
      <c r="J177" s="28" t="str">
        <f>CONCATENATE(SUM($E$6:$E177)," / ",SUM($E$6:$E$370))</f>
        <v>1185,5 / 2214</v>
      </c>
      <c r="K177" s="24"/>
      <c r="L177" s="28" t="str">
        <f>CONCATENATE(SUMIF($C$6:$C177,C177,$G$6:$G$370)," / ",SUMIF($C$6:$C$370,C177,$G$6:$G$370))</f>
        <v>15 / 110</v>
      </c>
      <c r="M177" s="28" t="str">
        <f>CONCATENATE(SUMIF($D$6:$D177,D177,$G$6:$G$370)," / ",SUMIF($D$6:$D$370,D177,$G$6:$G$370))</f>
        <v>379 / 449</v>
      </c>
      <c r="N177" s="28" t="str">
        <f>CONCATENATE(SUM($G$6:$G177)," / ",SUM($G$6:$G$370))</f>
        <v>831 / 2316,5</v>
      </c>
      <c r="O177" s="24" t="s">
        <v>488</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510</v>
      </c>
      <c r="G178" s="124">
        <v>10</v>
      </c>
      <c r="H178" s="28" t="str">
        <f>CONCATENATE(SUMIF($C$6:$C178,C178,$E$6:$E$370)," / ",SUMIF($C$6:$C$370,C178,$E$6:$E$370))</f>
        <v>10 / 27</v>
      </c>
      <c r="I178" s="28" t="str">
        <f>CONCATENATE(SUMIF($D$6:$D178,D178,$E$6:$E$370)," / ",SUMIF($D$6:$D$370,D178,$E$6:$E$370))</f>
        <v>131,5 / 131,5</v>
      </c>
      <c r="J178" s="28" t="str">
        <f>CONCATENATE(SUM($E$6:$E178)," / ",SUM($E$6:$E$370))</f>
        <v>1195,5 / 2214</v>
      </c>
      <c r="K178" s="24"/>
      <c r="L178" s="28" t="str">
        <f>CONCATENATE(SUMIF($C$6:$C178,C178,$G$6:$G$370)," / ",SUMIF($C$6:$C$370,C178,$G$6:$G$370))</f>
        <v>25 / 110</v>
      </c>
      <c r="M178" s="28" t="str">
        <f>CONCATENATE(SUMIF($D$6:$D178,D178,$G$6:$G$370)," / ",SUMIF($D$6:$D$370,D178,$G$6:$G$370))</f>
        <v>389 / 449</v>
      </c>
      <c r="N178" s="28" t="str">
        <f>CONCATENATE(SUM($G$6:$G178)," / ",SUM($G$6:$G$370))</f>
        <v>841 / 2316,5</v>
      </c>
      <c r="O178" s="24" t="s">
        <v>488</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508</v>
      </c>
      <c r="G179" s="124"/>
      <c r="H179" s="28" t="str">
        <f>CONCATENATE(SUMIF($C$6:$C179,C179,$E$6:$E$370)," / ",SUMIF($C$6:$C$370,C179,$E$6:$E$370))</f>
        <v>10 / 27</v>
      </c>
      <c r="I179" s="28" t="str">
        <f>CONCATENATE(SUMIF($D$6:$D179,D179,$E$6:$E$370)," / ",SUMIF($D$6:$D$370,D179,$E$6:$E$370))</f>
        <v>131,5 / 131,5</v>
      </c>
      <c r="J179" s="28" t="str">
        <f>CONCATENATE(SUM($E$6:$E179)," / ",SUM($E$6:$E$370))</f>
        <v>1195,5 / 2214</v>
      </c>
      <c r="K179" s="24"/>
      <c r="L179" s="28" t="str">
        <f>CONCATENATE(SUMIF($C$6:$C179,C179,$G$6:$G$370)," / ",SUMIF($C$6:$C$370,C179,$G$6:$G$370))</f>
        <v>25 / 110</v>
      </c>
      <c r="M179" s="28" t="str">
        <f>CONCATENATE(SUMIF($D$6:$D179,D179,$G$6:$G$370)," / ",SUMIF($D$6:$D$370,D179,$G$6:$G$370))</f>
        <v>389 / 449</v>
      </c>
      <c r="N179" s="28" t="str">
        <f>CONCATENATE(SUM($G$6:$G179)," / ",SUM($G$6:$G$370))</f>
        <v>841 / 2316,5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513</v>
      </c>
      <c r="G180" s="124">
        <v>60</v>
      </c>
      <c r="H180" s="28" t="str">
        <f>CONCATENATE(SUMIF($C$6:$C180,C180,$E$6:$E$370)," / ",SUMIF($C$6:$C$370,C180,$E$6:$E$370))</f>
        <v>10 / 27</v>
      </c>
      <c r="I180" s="28" t="str">
        <f>CONCATENATE(SUMIF($D$6:$D180,D180,$E$6:$E$370)," / ",SUMIF($D$6:$D$370,D180,$E$6:$E$370))</f>
        <v>131,5 / 131,5</v>
      </c>
      <c r="J180" s="28" t="str">
        <f>CONCATENATE(SUM($E$6:$E180)," / ",SUM($E$6:$E$370))</f>
        <v>1195,5 / 2214</v>
      </c>
      <c r="K180" s="24"/>
      <c r="L180" s="28" t="str">
        <f>CONCATENATE(SUMIF($C$6:$C180,C180,$G$6:$G$370)," / ",SUMIF($C$6:$C$370,C180,$G$6:$G$370))</f>
        <v>85 / 110</v>
      </c>
      <c r="M180" s="28" t="str">
        <f>CONCATENATE(SUMIF($D$6:$D180,D180,$G$6:$G$370)," / ",SUMIF($D$6:$D$370,D180,$G$6:$G$370))</f>
        <v>449 / 449</v>
      </c>
      <c r="N180" s="28" t="str">
        <f>CONCATENATE(SUM($G$6:$G180)," / ",SUM($G$6:$G$370))</f>
        <v>901 / 2316,5</v>
      </c>
      <c r="O180" s="24" t="s">
        <v>486</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2214</v>
      </c>
      <c r="K181" s="24"/>
      <c r="L181" s="28" t="str">
        <f>CONCATENATE(SUMIF($C$6:$C181,C181,$G$6:$G$370)," / ",SUMIF($C$6:$C$370,C181,$G$6:$G$370))</f>
        <v>85 / 110</v>
      </c>
      <c r="M181" s="28" t="str">
        <f>CONCATENATE(SUMIF($D$6:$D181,D181,$G$6:$G$370)," / ",SUMIF($D$6:$D$370,D181,$G$6:$G$370))</f>
        <v>449 / 449</v>
      </c>
      <c r="N181" s="28" t="str">
        <f>CONCATENATE(SUM($G$6:$G181)," / ",SUM($G$6:$G$370))</f>
        <v>901 / 2316,5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2214</v>
      </c>
      <c r="K182" s="24"/>
      <c r="L182" s="28" t="str">
        <f>CONCATENATE(SUMIF($C$6:$C182,C182,$G$6:$G$370)," / ",SUMIF($C$6:$C$370,C182,$G$6:$G$370))</f>
        <v>85 / 110</v>
      </c>
      <c r="M182" s="28" t="str">
        <f>CONCATENATE(SUMIF($D$6:$D182,D182,$G$6:$G$370)," / ",SUMIF($D$6:$D$370,D182,$G$6:$G$370))</f>
        <v>449 / 449</v>
      </c>
      <c r="N182" s="28" t="str">
        <f>CONCATENATE(SUM($G$6:$G182)," / ",SUM($G$6:$G$370))</f>
        <v>901 / 2316,5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514</v>
      </c>
      <c r="G183" s="124">
        <v>25</v>
      </c>
      <c r="H183" s="28" t="str">
        <f>CONCATENATE(SUMIF($C$6:$C183,C183,$E$6:$E$370)," / ",SUMIF($C$6:$C$370,C183,$E$6:$E$370))</f>
        <v>27 / 27</v>
      </c>
      <c r="I183" s="28" t="str">
        <f>CONCATENATE(SUMIF($D$6:$D183,D183,$E$6:$E$370)," / ",SUMIF($D$6:$D$370,D183,$E$6:$E$370))</f>
        <v>17 / 221</v>
      </c>
      <c r="J183" s="28" t="str">
        <f>CONCATENATE(SUM($E$6:$E183)," / ",SUM($E$6:$E$370))</f>
        <v>1212,5 / 2214</v>
      </c>
      <c r="K183" s="24" t="s">
        <v>476</v>
      </c>
      <c r="L183" s="28" t="str">
        <f>CONCATENATE(SUMIF($C$6:$C183,C183,$G$6:$G$370)," / ",SUMIF($C$6:$C$370,C183,$G$6:$G$370))</f>
        <v>110 / 110</v>
      </c>
      <c r="M183" s="28" t="str">
        <f>CONCATENATE(SUMIF($D$6:$D183,D183,$G$6:$G$370)," / ",SUMIF($D$6:$D$370,D183,$G$6:$G$370))</f>
        <v>25 / 138</v>
      </c>
      <c r="N183" s="28" t="str">
        <f>CONCATENATE(SUM($G$6:$G183)," / ",SUM($G$6:$G$370))</f>
        <v>926 / 2316,5</v>
      </c>
      <c r="O183" s="24" t="s">
        <v>488</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2214</v>
      </c>
      <c r="K184" s="24"/>
      <c r="L184" s="28" t="str">
        <f>CONCATENATE(SUMIF($C$6:$C184,C184,$G$6:$G$370)," / ",SUMIF($C$6:$C$370,C184,$G$6:$G$370))</f>
        <v>0 / 15</v>
      </c>
      <c r="M184" s="28" t="str">
        <f>CONCATENATE(SUMIF($D$6:$D184,D184,$G$6:$G$370)," / ",SUMIF($D$6:$D$370,D184,$G$6:$G$370))</f>
        <v>25 / 138</v>
      </c>
      <c r="N184" s="28" t="str">
        <f>CONCATENATE(SUM($G$6:$G184)," / ",SUM($G$6:$G$370))</f>
        <v>926 / 2316,5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2214</v>
      </c>
      <c r="K185" s="24"/>
      <c r="L185" s="28" t="str">
        <f>CONCATENATE(SUMIF($C$6:$C185,C185,$G$6:$G$370)," / ",SUMIF($C$6:$C$370,C185,$G$6:$G$370))</f>
        <v>0 / 15</v>
      </c>
      <c r="M185" s="28" t="str">
        <f>CONCATENATE(SUMIF($D$6:$D185,D185,$G$6:$G$370)," / ",SUMIF($D$6:$D$370,D185,$G$6:$G$370))</f>
        <v>25 / 138</v>
      </c>
      <c r="N185" s="28" t="str">
        <f>CONCATENATE(SUM($G$6:$G185)," / ",SUM($G$6:$G$370))</f>
        <v>926 / 2316,5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2214</v>
      </c>
      <c r="K186" s="24"/>
      <c r="L186" s="28" t="str">
        <f>CONCATENATE(SUMIF($C$6:$C186,C186,$G$6:$G$370)," / ",SUMIF($C$6:$C$370,C186,$G$6:$G$370))</f>
        <v>0 / 15</v>
      </c>
      <c r="M186" s="28" t="str">
        <f>CONCATENATE(SUMIF($D$6:$D186,D186,$G$6:$G$370)," / ",SUMIF($D$6:$D$370,D186,$G$6:$G$370))</f>
        <v>25 / 138</v>
      </c>
      <c r="N186" s="28" t="str">
        <f>CONCATENATE(SUM($G$6:$G186)," / ",SUM($G$6:$G$370))</f>
        <v>926 / 2316,5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2214</v>
      </c>
      <c r="K187" s="24"/>
      <c r="L187" s="28" t="str">
        <f>CONCATENATE(SUMIF($C$6:$C187,C187,$G$6:$G$370)," / ",SUMIF($C$6:$C$370,C187,$G$6:$G$370))</f>
        <v>0 / 15</v>
      </c>
      <c r="M187" s="28" t="str">
        <f>CONCATENATE(SUMIF($D$6:$D187,D187,$G$6:$G$370)," / ",SUMIF($D$6:$D$370,D187,$G$6:$G$370))</f>
        <v>25 / 138</v>
      </c>
      <c r="N187" s="28" t="str">
        <f>CONCATENATE(SUM($G$6:$G187)," / ",SUM($G$6:$G$370))</f>
        <v>926 / 2316,5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494</v>
      </c>
      <c r="G188" s="124">
        <v>15</v>
      </c>
      <c r="H188" s="28" t="str">
        <f>CONCATENATE(SUMIF($C$6:$C188,C188,$E$6:$E$370)," / ",SUMIF($C$6:$C$370,C188,$E$6:$E$370))</f>
        <v>15 / 33</v>
      </c>
      <c r="I188" s="28" t="str">
        <f>CONCATENATE(SUMIF($D$6:$D188,D188,$E$6:$E$370)," / ",SUMIF($D$6:$D$370,D188,$E$6:$E$370))</f>
        <v>32 / 221</v>
      </c>
      <c r="J188" s="28" t="str">
        <f>CONCATENATE(SUM($E$6:$E188)," / ",SUM($E$6:$E$370))</f>
        <v>1227,5 / 2214</v>
      </c>
      <c r="K188" s="24" t="s">
        <v>476</v>
      </c>
      <c r="L188" s="28" t="str">
        <f>CONCATENATE(SUMIF($C$6:$C188,C188,$G$6:$G$370)," / ",SUMIF($C$6:$C$370,C188,$G$6:$G$370))</f>
        <v>15 / 15</v>
      </c>
      <c r="M188" s="28" t="str">
        <f>CONCATENATE(SUMIF($D$6:$D188,D188,$G$6:$G$370)," / ",SUMIF($D$6:$D$370,D188,$G$6:$G$370))</f>
        <v>40 / 138</v>
      </c>
      <c r="N188" s="28" t="str">
        <f>CONCATENATE(SUM($G$6:$G188)," / ",SUM($G$6:$G$370))</f>
        <v>941 / 2316,5</v>
      </c>
      <c r="O188" s="24" t="s">
        <v>488</v>
      </c>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515</v>
      </c>
      <c r="G189" s="124"/>
      <c r="H189" s="28" t="str">
        <f>CONCATENATE(SUMIF($C$6:$C189,C189,$E$6:$E$370)," / ",SUMIF($C$6:$C$370,C189,$E$6:$E$370))</f>
        <v>15 / 33</v>
      </c>
      <c r="I189" s="28" t="str">
        <f>CONCATENATE(SUMIF($D$6:$D189,D189,$E$6:$E$370)," / ",SUMIF($D$6:$D$370,D189,$E$6:$E$370))</f>
        <v>32 / 221</v>
      </c>
      <c r="J189" s="28" t="str">
        <f>CONCATENATE(SUM($E$6:$E189)," / ",SUM($E$6:$E$370))</f>
        <v>1227,5 / 2214</v>
      </c>
      <c r="K189" s="24"/>
      <c r="L189" s="28" t="str">
        <f>CONCATENATE(SUMIF($C$6:$C189,C189,$G$6:$G$370)," / ",SUMIF($C$6:$C$370,C189,$G$6:$G$370))</f>
        <v>15 / 15</v>
      </c>
      <c r="M189" s="28" t="str">
        <f>CONCATENATE(SUMIF($D$6:$D189,D189,$G$6:$G$370)," / ",SUMIF($D$6:$D$370,D189,$G$6:$G$370))</f>
        <v>40 / 138</v>
      </c>
      <c r="N189" s="28" t="str">
        <f>CONCATENATE(SUM($G$6:$G189)," / ",SUM($G$6:$G$370))</f>
        <v>941 / 2316,5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516</v>
      </c>
      <c r="G190" s="124"/>
      <c r="H190" s="28" t="str">
        <f>CONCATENATE(SUMIF($C$6:$C190,C190,$E$6:$E$370)," / ",SUMIF($C$6:$C$370,C190,$E$6:$E$370))</f>
        <v>33 / 33</v>
      </c>
      <c r="I190" s="28" t="str">
        <f>CONCATENATE(SUMIF($D$6:$D190,D190,$E$6:$E$370)," / ",SUMIF($D$6:$D$370,D190,$E$6:$E$370))</f>
        <v>50 / 221</v>
      </c>
      <c r="J190" s="28" t="str">
        <f>CONCATENATE(SUM($E$6:$E190)," / ",SUM($E$6:$E$370))</f>
        <v>1245,5 / 2214</v>
      </c>
      <c r="K190" s="25" t="s">
        <v>476</v>
      </c>
      <c r="L190" s="28" t="str">
        <f>CONCATENATE(SUMIF($C$6:$C190,C190,$G$6:$G$370)," / ",SUMIF($C$6:$C$370,C190,$G$6:$G$370))</f>
        <v>15 / 15</v>
      </c>
      <c r="M190" s="28" t="str">
        <f>CONCATENATE(SUMIF($D$6:$D190,D190,$G$6:$G$370)," / ",SUMIF($D$6:$D$370,D190,$G$6:$G$370))</f>
        <v>40 / 138</v>
      </c>
      <c r="N190" s="28" t="str">
        <f>CONCATENATE(SUM($G$6:$G190)," / ",SUM($G$6:$G$370))</f>
        <v>941 / 2316,5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2214</v>
      </c>
      <c r="K191" s="24"/>
      <c r="L191" s="28" t="str">
        <f>CONCATENATE(SUMIF($C$6:$C191,C191,$G$6:$G$370)," / ",SUMIF($C$6:$C$370,C191,$G$6:$G$370))</f>
        <v>0 / 60</v>
      </c>
      <c r="M191" s="28" t="str">
        <f>CONCATENATE(SUMIF($D$6:$D191,D191,$G$6:$G$370)," / ",SUMIF($D$6:$D$370,D191,$G$6:$G$370))</f>
        <v>40 / 138</v>
      </c>
      <c r="N191" s="28" t="str">
        <f>CONCATENATE(SUM($G$6:$G191)," / ",SUM($G$6:$G$370))</f>
        <v>941 / 2316,5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2214</v>
      </c>
      <c r="K192" s="24"/>
      <c r="L192" s="28" t="str">
        <f>CONCATENATE(SUMIF($C$6:$C192,C192,$G$6:$G$370)," / ",SUMIF($C$6:$C$370,C192,$G$6:$G$370))</f>
        <v>0 / 60</v>
      </c>
      <c r="M192" s="28" t="str">
        <f>CONCATENATE(SUMIF($D$6:$D192,D192,$G$6:$G$370)," / ",SUMIF($D$6:$D$370,D192,$G$6:$G$370))</f>
        <v>40 / 138</v>
      </c>
      <c r="N192" s="28" t="str">
        <f>CONCATENATE(SUM($G$6:$G192)," / ",SUM($G$6:$G$370))</f>
        <v>941 / 2316,5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518</v>
      </c>
      <c r="G193" s="124"/>
      <c r="H193" s="28" t="str">
        <f>CONCATENATE(SUMIF($C$6:$C193,C193,$E$6:$E$370)," / ",SUMIF($C$6:$C$370,C193,$E$6:$E$370))</f>
        <v>0 / 36</v>
      </c>
      <c r="I193" s="28" t="str">
        <f>CONCATENATE(SUMIF($D$6:$D193,D193,$E$6:$E$370)," / ",SUMIF($D$6:$D$370,D193,$E$6:$E$370))</f>
        <v>50 / 221</v>
      </c>
      <c r="J193" s="28" t="str">
        <f>CONCATENATE(SUM($E$6:$E193)," / ",SUM($E$6:$E$370))</f>
        <v>1245,5 / 2214</v>
      </c>
      <c r="K193" s="24"/>
      <c r="L193" s="28" t="str">
        <f>CONCATENATE(SUMIF($C$6:$C193,C193,$G$6:$G$370)," / ",SUMIF($C$6:$C$370,C193,$G$6:$G$370))</f>
        <v>0 / 60</v>
      </c>
      <c r="M193" s="28" t="str">
        <f>CONCATENATE(SUMIF($D$6:$D193,D193,$G$6:$G$370)," / ",SUMIF($D$6:$D$370,D193,$G$6:$G$370))</f>
        <v>40 / 138</v>
      </c>
      <c r="N193" s="28" t="str">
        <f>CONCATENATE(SUM($G$6:$G193)," / ",SUM($G$6:$G$370))</f>
        <v>941 / 2316,5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520</v>
      </c>
      <c r="G194" s="124">
        <v>60</v>
      </c>
      <c r="H194" s="28" t="str">
        <f>CONCATENATE(SUMIF($C$6:$C194,C194,$E$6:$E$370)," / ",SUMIF($C$6:$C$370,C194,$E$6:$E$370))</f>
        <v>10 / 36</v>
      </c>
      <c r="I194" s="28" t="str">
        <f>CONCATENATE(SUMIF($D$6:$D194,D194,$E$6:$E$370)," / ",SUMIF($D$6:$D$370,D194,$E$6:$E$370))</f>
        <v>60 / 221</v>
      </c>
      <c r="J194" s="28" t="str">
        <f>CONCATENATE(SUM($E$6:$E194)," / ",SUM($E$6:$E$370))</f>
        <v>1255,5 / 2214</v>
      </c>
      <c r="K194" s="24" t="s">
        <v>476</v>
      </c>
      <c r="L194" s="28" t="str">
        <f>CONCATENATE(SUMIF($C$6:$C194,C194,$G$6:$G$370)," / ",SUMIF($C$6:$C$370,C194,$G$6:$G$370))</f>
        <v>60 / 60</v>
      </c>
      <c r="M194" s="28" t="str">
        <f>CONCATENATE(SUMIF($D$6:$D194,D194,$G$6:$G$370)," / ",SUMIF($D$6:$D$370,D194,$G$6:$G$370))</f>
        <v>100 / 138</v>
      </c>
      <c r="N194" s="28" t="str">
        <f>CONCATENATE(SUM($G$6:$G194)," / ",SUM($G$6:$G$370))</f>
        <v>1001 / 2316,5</v>
      </c>
      <c r="O194" s="24" t="s">
        <v>488</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523</v>
      </c>
      <c r="G195" s="124"/>
      <c r="H195" s="28" t="str">
        <f>CONCATENATE(SUMIF($C$6:$C195,C195,$E$6:$E$370)," / ",SUMIF($C$6:$C$370,C195,$E$6:$E$370))</f>
        <v>10 / 36</v>
      </c>
      <c r="I195" s="28" t="str">
        <f>CONCATENATE(SUMIF($D$6:$D195,D195,$E$6:$E$370)," / ",SUMIF($D$6:$D$370,D195,$E$6:$E$370))</f>
        <v>60 / 221</v>
      </c>
      <c r="J195" s="28" t="str">
        <f>CONCATENATE(SUM($E$6:$E195)," / ",SUM($E$6:$E$370))</f>
        <v>1255,5 / 2214</v>
      </c>
      <c r="K195" s="24"/>
      <c r="L195" s="28" t="str">
        <f>CONCATENATE(SUMIF($C$6:$C195,C195,$G$6:$G$370)," / ",SUMIF($C$6:$C$370,C195,$G$6:$G$370))</f>
        <v>60 / 60</v>
      </c>
      <c r="M195" s="28" t="str">
        <f>CONCATENATE(SUMIF($D$6:$D195,D195,$G$6:$G$370)," / ",SUMIF($D$6:$D$370,D195,$G$6:$G$370))</f>
        <v>100 / 138</v>
      </c>
      <c r="N195" s="28" t="str">
        <f>CONCATENATE(SUM($G$6:$G195)," / ",SUM($G$6:$G$370))</f>
        <v>1001 / 2316,5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521</v>
      </c>
      <c r="G196" s="124"/>
      <c r="H196" s="28" t="str">
        <f>CONCATENATE(SUMIF($C$6:$C196,C196,$E$6:$E$370)," / ",SUMIF($C$6:$C$370,C196,$E$6:$E$370))</f>
        <v>21 / 36</v>
      </c>
      <c r="I196" s="28" t="str">
        <f>CONCATENATE(SUMIF($D$6:$D196,D196,$E$6:$E$370)," / ",SUMIF($D$6:$D$370,D196,$E$6:$E$370))</f>
        <v>71 / 221</v>
      </c>
      <c r="J196" s="28" t="str">
        <f>CONCATENATE(SUM($E$6:$E196)," / ",SUM($E$6:$E$370))</f>
        <v>1266,5 / 2214</v>
      </c>
      <c r="K196" s="24" t="s">
        <v>476</v>
      </c>
      <c r="L196" s="28" t="str">
        <f>CONCATENATE(SUMIF($C$6:$C196,C196,$G$6:$G$370)," / ",SUMIF($C$6:$C$370,C196,$G$6:$G$370))</f>
        <v>60 / 60</v>
      </c>
      <c r="M196" s="28" t="str">
        <f>CONCATENATE(SUMIF($D$6:$D196,D196,$G$6:$G$370)," / ",SUMIF($D$6:$D$370,D196,$G$6:$G$370))</f>
        <v>100 / 138</v>
      </c>
      <c r="N196" s="28" t="str">
        <f>CONCATENATE(SUM($G$6:$G196)," / ",SUM($G$6:$G$370))</f>
        <v>1001 / 2316,5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522</v>
      </c>
      <c r="G197" s="124"/>
      <c r="H197" s="28" t="str">
        <f>CONCATENATE(SUMIF($C$6:$C197,C197,$E$6:$E$370)," / ",SUMIF($C$6:$C$370,C197,$E$6:$E$370))</f>
        <v>36 / 36</v>
      </c>
      <c r="I197" s="28" t="str">
        <f>CONCATENATE(SUMIF($D$6:$D197,D197,$E$6:$E$370)," / ",SUMIF($D$6:$D$370,D197,$E$6:$E$370))</f>
        <v>86 / 221</v>
      </c>
      <c r="J197" s="28" t="str">
        <f>CONCATENATE(SUM($E$6:$E197)," / ",SUM($E$6:$E$370))</f>
        <v>1281,5 / 2214</v>
      </c>
      <c r="K197" s="24" t="s">
        <v>477</v>
      </c>
      <c r="L197" s="28" t="str">
        <f>CONCATENATE(SUMIF($C$6:$C197,C197,$G$6:$G$370)," / ",SUMIF($C$6:$C$370,C197,$G$6:$G$370))</f>
        <v>60 / 60</v>
      </c>
      <c r="M197" s="28" t="str">
        <f>CONCATENATE(SUMIF($D$6:$D197,D197,$G$6:$G$370)," / ",SUMIF($D$6:$D$370,D197,$G$6:$G$370))</f>
        <v>100 / 138</v>
      </c>
      <c r="N197" s="28" t="str">
        <f>CONCATENATE(SUM($G$6:$G197)," / ",SUM($G$6:$G$370))</f>
        <v>1001 / 2316,5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2214</v>
      </c>
      <c r="K198" s="24"/>
      <c r="L198" s="28" t="str">
        <f>CONCATENATE(SUMIF($C$6:$C198,C198,$G$6:$G$370)," / ",SUMIF($C$6:$C$370,C198,$G$6:$G$370))</f>
        <v>0 / 0</v>
      </c>
      <c r="M198" s="28" t="str">
        <f>CONCATENATE(SUMIF($D$6:$D198,D198,$G$6:$G$370)," / ",SUMIF($D$6:$D$370,D198,$G$6:$G$370))</f>
        <v>100 / 138</v>
      </c>
      <c r="N198" s="28" t="str">
        <f>CONCATENATE(SUM($G$6:$G198)," / ",SUM($G$6:$G$370))</f>
        <v>1001 / 2316,5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2214</v>
      </c>
      <c r="K199" s="24"/>
      <c r="L199" s="28" t="str">
        <f>CONCATENATE(SUMIF($C$6:$C199,C199,$G$6:$G$370)," / ",SUMIF($C$6:$C$370,C199,$G$6:$G$370))</f>
        <v>0 / 0</v>
      </c>
      <c r="M199" s="28" t="str">
        <f>CONCATENATE(SUMIF($D$6:$D199,D199,$G$6:$G$370)," / ",SUMIF($D$6:$D$370,D199,$G$6:$G$370))</f>
        <v>100 / 138</v>
      </c>
      <c r="N199" s="28" t="str">
        <f>CONCATENATE(SUM($G$6:$G199)," / ",SUM($G$6:$G$370))</f>
        <v>1001 / 2316,5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526</v>
      </c>
      <c r="G200" s="124"/>
      <c r="H200" s="28" t="str">
        <f>CONCATENATE(SUMIF($C$6:$C200,C200,$E$6:$E$370)," / ",SUMIF($C$6:$C$370,C200,$E$6:$E$370))</f>
        <v>14 / 30</v>
      </c>
      <c r="I200" s="28" t="str">
        <f>CONCATENATE(SUMIF($D$6:$D200,D200,$E$6:$E$370)," / ",SUMIF($D$6:$D$370,D200,$E$6:$E$370))</f>
        <v>100 / 221</v>
      </c>
      <c r="J200" s="28" t="str">
        <f>CONCATENATE(SUM($E$6:$E200)," / ",SUM($E$6:$E$370))</f>
        <v>1295,5 / 2214</v>
      </c>
      <c r="K200" s="24" t="s">
        <v>477</v>
      </c>
      <c r="L200" s="28" t="str">
        <f>CONCATENATE(SUMIF($C$6:$C200,C200,$G$6:$G$370)," / ",SUMIF($C$6:$C$370,C200,$G$6:$G$370))</f>
        <v>0 / 0</v>
      </c>
      <c r="M200" s="28" t="str">
        <f>CONCATENATE(SUMIF($D$6:$D200,D200,$G$6:$G$370)," / ",SUMIF($D$6:$D$370,D200,$G$6:$G$370))</f>
        <v>100 / 138</v>
      </c>
      <c r="N200" s="28" t="str">
        <f>CONCATENATE(SUM($G$6:$G200)," / ",SUM($G$6:$G$370))</f>
        <v>1001 / 2316,5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2214</v>
      </c>
      <c r="K201" s="24"/>
      <c r="L201" s="28" t="str">
        <f>CONCATENATE(SUMIF($C$6:$C201,C201,$G$6:$G$370)," / ",SUMIF($C$6:$C$370,C201,$G$6:$G$370))</f>
        <v>0 / 0</v>
      </c>
      <c r="M201" s="28" t="str">
        <f>CONCATENATE(SUMIF($D$6:$D201,D201,$G$6:$G$370)," / ",SUMIF($D$6:$D$370,D201,$G$6:$G$370))</f>
        <v>100 / 138</v>
      </c>
      <c r="N201" s="28" t="str">
        <f>CONCATENATE(SUM($G$6:$G201)," / ",SUM($G$6:$G$370))</f>
        <v>1001 / 2316,5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2214</v>
      </c>
      <c r="K202" s="24"/>
      <c r="L202" s="28" t="str">
        <f>CONCATENATE(SUMIF($C$6:$C202,C202,$G$6:$G$370)," / ",SUMIF($C$6:$C$370,C202,$G$6:$G$370))</f>
        <v>0 / 0</v>
      </c>
      <c r="M202" s="28" t="str">
        <f>CONCATENATE(SUMIF($D$6:$D202,D202,$G$6:$G$370)," / ",SUMIF($D$6:$D$370,D202,$G$6:$G$370))</f>
        <v>100 / 138</v>
      </c>
      <c r="N202" s="28" t="str">
        <f>CONCATENATE(SUM($G$6:$G202)," / ",SUM($G$6:$G$370))</f>
        <v>1001 / 2316,5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2214</v>
      </c>
      <c r="K203" s="24"/>
      <c r="L203" s="28" t="str">
        <f>CONCATENATE(SUMIF($C$6:$C203,C203,$G$6:$G$370)," / ",SUMIF($C$6:$C$370,C203,$G$6:$G$370))</f>
        <v>0 / 0</v>
      </c>
      <c r="M203" s="28" t="str">
        <f>CONCATENATE(SUMIF($D$6:$D203,D203,$G$6:$G$370)," / ",SUMIF($D$6:$D$370,D203,$G$6:$G$370))</f>
        <v>100 / 138</v>
      </c>
      <c r="N203" s="28" t="str">
        <f>CONCATENATE(SUM($G$6:$G203)," / ",SUM($G$6:$G$370))</f>
        <v>1001 / 2316,5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525</v>
      </c>
      <c r="G204" s="124"/>
      <c r="H204" s="28" t="str">
        <f>CONCATENATE(SUMIF($C$6:$C204,C204,$E$6:$E$370)," / ",SUMIF($C$6:$C$370,C204,$E$6:$E$370))</f>
        <v>30 / 30</v>
      </c>
      <c r="I204" s="28" t="str">
        <f>CONCATENATE(SUMIF($D$6:$D204,D204,$E$6:$E$370)," / ",SUMIF($D$6:$D$370,D204,$E$6:$E$370))</f>
        <v>116 / 221</v>
      </c>
      <c r="J204" s="28" t="str">
        <f>CONCATENATE(SUM($E$6:$E204)," / ",SUM($E$6:$E$370))</f>
        <v>1311,5 / 2214</v>
      </c>
      <c r="K204" s="24" t="s">
        <v>476</v>
      </c>
      <c r="L204" s="28" t="str">
        <f>CONCATENATE(SUMIF($C$6:$C204,C204,$G$6:$G$370)," / ",SUMIF($C$6:$C$370,C204,$G$6:$G$370))</f>
        <v>0 / 0</v>
      </c>
      <c r="M204" s="28" t="str">
        <f>CONCATENATE(SUMIF($D$6:$D204,D204,$G$6:$G$370)," / ",SUMIF($D$6:$D$370,D204,$G$6:$G$370))</f>
        <v>100 / 138</v>
      </c>
      <c r="N204" s="28" t="str">
        <f>CONCATENATE(SUM($G$6:$G204)," / ",SUM($G$6:$G$370))</f>
        <v>1001 / 2316,5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543</v>
      </c>
      <c r="G205" s="227"/>
      <c r="H205" s="228" t="str">
        <f>CONCATENATE(SUMIF($C$6:$C205,C205,$E$6:$E$370)," / ",SUMIF($C$6:$C$370,C205,$E$6:$E$370))</f>
        <v>0 / 105</v>
      </c>
      <c r="I205" s="228" t="str">
        <f>CONCATENATE(SUMIF($D$6:$D205,D205,$E$6:$E$370)," / ",SUMIF($D$6:$D$370,D205,$E$6:$E$370))</f>
        <v>116 / 221</v>
      </c>
      <c r="J205" s="228" t="str">
        <f>CONCATENATE(SUM($E$6:$E205)," / ",SUM($E$6:$E$370))</f>
        <v>1311,5 / 2214</v>
      </c>
      <c r="K205" s="229"/>
      <c r="L205" s="28" t="str">
        <f>CONCATENATE(SUMIF($C$6:$C205,C205,$G$6:$G$370)," / ",SUMIF($C$6:$C$370,C205,$G$6:$G$370))</f>
        <v>0 / 0</v>
      </c>
      <c r="M205" s="28" t="str">
        <f>CONCATENATE(SUMIF($D$6:$D205,D205,$G$6:$G$370)," / ",SUMIF($D$6:$D$370,D205,$G$6:$G$370))</f>
        <v>100 / 138</v>
      </c>
      <c r="N205" s="28" t="str">
        <f>CONCATENATE(SUM($G$6:$G205)," / ",SUM($G$6:$G$370))</f>
        <v>1001 / 2316,5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524</v>
      </c>
      <c r="G206" s="227"/>
      <c r="H206" s="228" t="str">
        <f>CONCATENATE(SUMIF($C$6:$C206,C206,$E$6:$E$370)," / ",SUMIF($C$6:$C$370,C206,$E$6:$E$370))</f>
        <v>20 / 105</v>
      </c>
      <c r="I206" s="228" t="str">
        <f>CONCATENATE(SUMIF($D$6:$D206,D206,$E$6:$E$370)," / ",SUMIF($D$6:$D$370,D206,$E$6:$E$370))</f>
        <v>136 / 221</v>
      </c>
      <c r="J206" s="228" t="str">
        <f>CONCATENATE(SUM($E$6:$E206)," / ",SUM($E$6:$E$370))</f>
        <v>1331,5 / 2214</v>
      </c>
      <c r="K206" s="229" t="s">
        <v>476</v>
      </c>
      <c r="L206" s="28" t="str">
        <f>CONCATENATE(SUMIF($C$6:$C206,C206,$G$6:$G$370)," / ",SUMIF($C$6:$C$370,C206,$G$6:$G$370))</f>
        <v>0 / 0</v>
      </c>
      <c r="M206" s="28" t="str">
        <f>CONCATENATE(SUMIF($D$6:$D206,D206,$G$6:$G$370)," / ",SUMIF($D$6:$D$370,D206,$G$6:$G$370))</f>
        <v>100 / 138</v>
      </c>
      <c r="N206" s="28" t="str">
        <f>CONCATENATE(SUM($G$6:$G206)," / ",SUM($G$6:$G$370))</f>
        <v>1001 / 2316,5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531</v>
      </c>
      <c r="G207" s="227"/>
      <c r="H207" s="228" t="str">
        <f>CONCATENATE(SUMIF($C$6:$C207,C207,$E$6:$E$370)," / ",SUMIF($C$6:$C$370,C207,$E$6:$E$370))</f>
        <v>35 / 105</v>
      </c>
      <c r="I207" s="228" t="str">
        <f>CONCATENATE(SUMIF($D$6:$D207,D207,$E$6:$E$370)," / ",SUMIF($D$6:$D$370,D207,$E$6:$E$370))</f>
        <v>151 / 221</v>
      </c>
      <c r="J207" s="228" t="str">
        <f>CONCATENATE(SUM($E$6:$E207)," / ",SUM($E$6:$E$370))</f>
        <v>1346,5 / 2214</v>
      </c>
      <c r="K207" s="229" t="s">
        <v>477</v>
      </c>
      <c r="L207" s="28" t="str">
        <f>CONCATENATE(SUMIF($C$6:$C207,C207,$G$6:$G$370)," / ",SUMIF($C$6:$C$370,C207,$G$6:$G$370))</f>
        <v>0 / 0</v>
      </c>
      <c r="M207" s="28" t="str">
        <f>CONCATENATE(SUMIF($D$6:$D207,D207,$G$6:$G$370)," / ",SUMIF($D$6:$D$370,D207,$G$6:$G$370))</f>
        <v>100 / 138</v>
      </c>
      <c r="N207" s="28" t="str">
        <f>CONCATENATE(SUM($G$6:$G207)," / ",SUM($G$6:$G$370))</f>
        <v>1001 / 2316,5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540</v>
      </c>
      <c r="G208" s="227"/>
      <c r="H208" s="228" t="str">
        <f>CONCATENATE(SUMIF($C$6:$C208,C208,$E$6:$E$370)," / ",SUMIF($C$6:$C$370,C208,$E$6:$E$370))</f>
        <v>55 / 105</v>
      </c>
      <c r="I208" s="228" t="str">
        <f>CONCATENATE(SUMIF($D$6:$D208,D208,$E$6:$E$370)," / ",SUMIF($D$6:$D$370,D208,$E$6:$E$370))</f>
        <v>171 / 221</v>
      </c>
      <c r="J208" s="228" t="str">
        <f>CONCATENATE(SUM($E$6:$E208)," / ",SUM($E$6:$E$370))</f>
        <v>1366,5 / 2214</v>
      </c>
      <c r="K208" s="229"/>
      <c r="L208" s="28" t="str">
        <f>CONCATENATE(SUMIF($C$6:$C208,C208,$G$6:$G$370)," / ",SUMIF($C$6:$C$370,C208,$G$6:$G$370))</f>
        <v>0 / 0</v>
      </c>
      <c r="M208" s="28" t="str">
        <f>CONCATENATE(SUMIF($D$6:$D208,D208,$G$6:$G$370)," / ",SUMIF($D$6:$D$370,D208,$G$6:$G$370))</f>
        <v>100 / 138</v>
      </c>
      <c r="N208" s="28" t="str">
        <f>CONCATENATE(SUM($G$6:$G208)," / ",SUM($G$6:$G$370))</f>
        <v>1001 / 2316,5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541</v>
      </c>
      <c r="G209" s="227"/>
      <c r="H209" s="228" t="str">
        <f>CONCATENATE(SUMIF($C$6:$C209,C209,$E$6:$E$370)," / ",SUMIF($C$6:$C$370,C209,$E$6:$E$370))</f>
        <v>85 / 105</v>
      </c>
      <c r="I209" s="228" t="str">
        <f>CONCATENATE(SUMIF($D$6:$D209,D209,$E$6:$E$370)," / ",SUMIF($D$6:$D$370,D209,$E$6:$E$370))</f>
        <v>201 / 221</v>
      </c>
      <c r="J209" s="228" t="str">
        <f>CONCATENATE(SUM($E$6:$E209)," / ",SUM($E$6:$E$370))</f>
        <v>1396,5 / 2214</v>
      </c>
      <c r="K209" s="229" t="s">
        <v>476</v>
      </c>
      <c r="L209" s="28" t="str">
        <f>CONCATENATE(SUMIF($C$6:$C209,C209,$G$6:$G$370)," / ",SUMIF($C$6:$C$370,C209,$G$6:$G$370))</f>
        <v>0 / 0</v>
      </c>
      <c r="M209" s="28" t="str">
        <f>CONCATENATE(SUMIF($D$6:$D209,D209,$G$6:$G$370)," / ",SUMIF($D$6:$D$370,D209,$G$6:$G$370))</f>
        <v>100 / 138</v>
      </c>
      <c r="N209" s="28" t="str">
        <f>CONCATENATE(SUM($G$6:$G209)," / ",SUM($G$6:$G$370))</f>
        <v>1001 / 2316,5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542</v>
      </c>
      <c r="G210" s="227"/>
      <c r="H210" s="228" t="str">
        <f>CONCATENATE(SUMIF($C$6:$C210,C210,$E$6:$E$370)," / ",SUMIF($C$6:$C$370,C210,$E$6:$E$370))</f>
        <v>105 / 105</v>
      </c>
      <c r="I210" s="228" t="str">
        <f>CONCATENATE(SUMIF($D$6:$D210,D210,$E$6:$E$370)," / ",SUMIF($D$6:$D$370,D210,$E$6:$E$370))</f>
        <v>221 / 221</v>
      </c>
      <c r="J210" s="228" t="str">
        <f>CONCATENATE(SUM($E$6:$E210)," / ",SUM($E$6:$E$370))</f>
        <v>1416,5 / 2214</v>
      </c>
      <c r="K210" s="229" t="s">
        <v>476</v>
      </c>
      <c r="L210" s="28" t="str">
        <f>CONCATENATE(SUMIF($C$6:$C210,C210,$G$6:$G$370)," / ",SUMIF($C$6:$C$370,C210,$G$6:$G$370))</f>
        <v>0 / 0</v>
      </c>
      <c r="M210" s="28" t="str">
        <f>CONCATENATE(SUMIF($D$6:$D210,D210,$G$6:$G$370)," / ",SUMIF($D$6:$D$370,D210,$G$6:$G$370))</f>
        <v>100 / 138</v>
      </c>
      <c r="N210" s="28" t="str">
        <f>CONCATENATE(SUM($G$6:$G210)," / ",SUM($G$6:$G$370))</f>
        <v>1001 / 2316,5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2214</v>
      </c>
      <c r="K211" s="24"/>
      <c r="L211" s="28" t="str">
        <f>CONCATENATE(SUMIF($C$6:$C211,C211,$G$6:$G$370)," / ",SUMIF($C$6:$C$370,C211,$G$6:$G$370))</f>
        <v>0 / 0</v>
      </c>
      <c r="M211" s="28" t="str">
        <f>CONCATENATE(SUMIF($D$6:$D211,D211,$G$6:$G$370)," / ",SUMIF($D$6:$D$370,D211,$G$6:$G$370))</f>
        <v>100 / 138</v>
      </c>
      <c r="N211" s="28" t="str">
        <f>CONCATENATE(SUM($G$6:$G211)," / ",SUM($G$6:$G$370))</f>
        <v>1001 / 2316,5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544</v>
      </c>
      <c r="G212" s="124">
        <v>38</v>
      </c>
      <c r="H212" s="28" t="str">
        <f>CONCATENATE(SUMIF($C$6:$C212,C212,$E$6:$E$370)," / ",SUMIF($C$6:$C$370,C212,$E$6:$E$370))</f>
        <v>0 / 33</v>
      </c>
      <c r="I212" s="28" t="str">
        <f>CONCATENATE(SUMIF($D$6:$D212,D212,$E$6:$E$370)," / ",SUMIF($D$6:$D$370,D212,$E$6:$E$370))</f>
        <v>221 / 221</v>
      </c>
      <c r="J212" s="28" t="str">
        <f>CONCATENATE(SUM($E$6:$E212)," / ",SUM($E$6:$E$370))</f>
        <v>1416,5 / 2214</v>
      </c>
      <c r="K212" s="24"/>
      <c r="L212" s="28" t="str">
        <f>CONCATENATE(SUMIF($C$6:$C212,C212,$G$6:$G$370)," / ",SUMIF($C$6:$C$370,C212,$G$6:$G$370))</f>
        <v>38 / 111</v>
      </c>
      <c r="M212" s="28" t="str">
        <f>CONCATENATE(SUMIF($D$6:$D212,D212,$G$6:$G$370)," / ",SUMIF($D$6:$D$370,D212,$G$6:$G$370))</f>
        <v>138 / 138</v>
      </c>
      <c r="N212" s="28" t="str">
        <f>CONCATENATE(SUM($G$6:$G212)," / ",SUM($G$6:$G$370))</f>
        <v>1039 / 2316,5</v>
      </c>
      <c r="O212" s="24" t="s">
        <v>488</v>
      </c>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474</v>
      </c>
      <c r="G213" s="215"/>
      <c r="H213" s="216" t="str">
        <f>CONCATENATE(SUMIF($C$6:$C213,C213,$E$6:$E$370)," / ",SUMIF($C$6:$C$370,C213,$E$6:$E$370))</f>
        <v>0 / 33</v>
      </c>
      <c r="I213" s="216" t="str">
        <f>CONCATENATE(SUMIF($D$6:$D213,D213,$E$6:$E$370)," / ",SUMIF($D$6:$D$370,D213,$E$6:$E$370))</f>
        <v>221 / 221</v>
      </c>
      <c r="J213" s="216" t="str">
        <f>CONCATENATE(SUM($E$6:$E213)," / ",SUM($E$6:$E$370))</f>
        <v>1416,5 / 2214</v>
      </c>
      <c r="K213" s="218"/>
      <c r="L213" s="28" t="str">
        <f>CONCATENATE(SUMIF($C$6:$C213,C213,$G$6:$G$370)," / ",SUMIF($C$6:$C$370,C213,$G$6:$G$370))</f>
        <v>38 / 111</v>
      </c>
      <c r="M213" s="28" t="str">
        <f>CONCATENATE(SUMIF($D$6:$D213,D213,$G$6:$G$370)," / ",SUMIF($D$6:$D$370,D213,$G$6:$G$370))</f>
        <v>138 / 138</v>
      </c>
      <c r="N213" s="28" t="str">
        <f>CONCATENATE(SUM($G$6:$G213)," / ",SUM($G$6:$G$370))</f>
        <v>1039 / 2316,5</v>
      </c>
      <c r="O213" s="24"/>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545</v>
      </c>
      <c r="G214" s="124"/>
      <c r="H214" s="28" t="str">
        <f>CONCATENATE(SUMIF($C$6:$C214,C214,$E$6:$E$370)," / ",SUMIF($C$6:$C$370,C214,$E$6:$E$370))</f>
        <v>0 / 33</v>
      </c>
      <c r="I214" s="28" t="str">
        <f>CONCATENATE(SUMIF($D$6:$D214,D214,$E$6:$E$370)," / ",SUMIF($D$6:$D$370,D214,$E$6:$E$370))</f>
        <v>0 / 150,5</v>
      </c>
      <c r="J214" s="28" t="str">
        <f>CONCATENATE(SUM($E$6:$E214)," / ",SUM($E$6:$E$370))</f>
        <v>1416,5 / 2214</v>
      </c>
      <c r="K214" s="24"/>
      <c r="L214" s="28" t="str">
        <f>CONCATENATE(SUMIF($C$6:$C214,C214,$G$6:$G$370)," / ",SUMIF($C$6:$C$370,C214,$G$6:$G$370))</f>
        <v>38 / 111</v>
      </c>
      <c r="M214" s="28" t="str">
        <f>CONCATENATE(SUMIF($D$6:$D214,D214,$G$6:$G$370)," / ",SUMIF($D$6:$D$370,D214,$G$6:$G$370))</f>
        <v>0 / 402,5</v>
      </c>
      <c r="N214" s="28" t="str">
        <f>CONCATENATE(SUM($G$6:$G214)," / ",SUM($G$6:$G$370))</f>
        <v>1039 / 2316,5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546</v>
      </c>
      <c r="G215" s="124">
        <v>73</v>
      </c>
      <c r="H215" s="28" t="str">
        <f>CONCATENATE(SUMIF($C$6:$C215,C215,$E$6:$E$370)," / ",SUMIF($C$6:$C$370,C215,$E$6:$E$370))</f>
        <v>0 / 33</v>
      </c>
      <c r="I215" s="28" t="str">
        <f>CONCATENATE(SUMIF($D$6:$D215,D215,$E$6:$E$370)," / ",SUMIF($D$6:$D$370,D215,$E$6:$E$370))</f>
        <v>0 / 150,5</v>
      </c>
      <c r="J215" s="28" t="str">
        <f>CONCATENATE(SUM($E$6:$E215)," / ",SUM($E$6:$E$370))</f>
        <v>1416,5 / 2214</v>
      </c>
      <c r="K215" s="24"/>
      <c r="L215" s="28" t="str">
        <f>CONCATENATE(SUMIF($C$6:$C215,C215,$G$6:$G$370)," / ",SUMIF($C$6:$C$370,C215,$G$6:$G$370))</f>
        <v>111 / 111</v>
      </c>
      <c r="M215" s="28" t="str">
        <f>CONCATENATE(SUMIF($D$6:$D215,D215,$G$6:$G$370)," / ",SUMIF($D$6:$D$370,D215,$G$6:$G$370))</f>
        <v>73 / 402,5</v>
      </c>
      <c r="N215" s="28" t="str">
        <f>CONCATENATE(SUM($G$6:$G215)," / ",SUM($G$6:$G$370))</f>
        <v>1112 / 2316,5</v>
      </c>
      <c r="O215" s="24" t="s">
        <v>488</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547</v>
      </c>
      <c r="G216" s="124"/>
      <c r="H216" s="28" t="str">
        <f>CONCATENATE(SUMIF($C$6:$C216,C216,$E$6:$E$370)," / ",SUMIF($C$6:$C$370,C216,$E$6:$E$370))</f>
        <v>0 / 33</v>
      </c>
      <c r="I216" s="28" t="str">
        <f>CONCATENATE(SUMIF($D$6:$D216,D216,$E$6:$E$370)," / ",SUMIF($D$6:$D$370,D216,$E$6:$E$370))</f>
        <v>0 / 150,5</v>
      </c>
      <c r="J216" s="28" t="str">
        <f>CONCATENATE(SUM($E$6:$E216)," / ",SUM($E$6:$E$370))</f>
        <v>1416,5 / 2214</v>
      </c>
      <c r="K216" s="24"/>
      <c r="L216" s="28" t="str">
        <f>CONCATENATE(SUMIF($C$6:$C216,C216,$G$6:$G$370)," / ",SUMIF($C$6:$C$370,C216,$G$6:$G$370))</f>
        <v>111 / 111</v>
      </c>
      <c r="M216" s="28" t="str">
        <f>CONCATENATE(SUMIF($D$6:$D216,D216,$G$6:$G$370)," / ",SUMIF($D$6:$D$370,D216,$G$6:$G$370))</f>
        <v>73 / 402,5</v>
      </c>
      <c r="N216" s="28" t="str">
        <f>CONCATENATE(SUM($G$6:$G216)," / ",SUM($G$6:$G$370))</f>
        <v>1112 / 2316,5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549</v>
      </c>
      <c r="G217" s="124"/>
      <c r="H217" s="28" t="str">
        <f>CONCATENATE(SUMIF($C$6:$C217,C217,$E$6:$E$370)," / ",SUMIF($C$6:$C$370,C217,$E$6:$E$370))</f>
        <v>12 / 33</v>
      </c>
      <c r="I217" s="28" t="str">
        <f>CONCATENATE(SUMIF($D$6:$D217,D217,$E$6:$E$370)," / ",SUMIF($D$6:$D$370,D217,$E$6:$E$370))</f>
        <v>12 / 150,5</v>
      </c>
      <c r="J217" s="28" t="str">
        <f>CONCATENATE(SUM($E$6:$E217)," / ",SUM($E$6:$E$370))</f>
        <v>1428,5 / 2214</v>
      </c>
      <c r="K217" s="24" t="s">
        <v>477</v>
      </c>
      <c r="L217" s="28" t="str">
        <f>CONCATENATE(SUMIF($C$6:$C217,C217,$G$6:$G$370)," / ",SUMIF($C$6:$C$370,C217,$G$6:$G$370))</f>
        <v>111 / 111</v>
      </c>
      <c r="M217" s="28" t="str">
        <f>CONCATENATE(SUMIF($D$6:$D217,D217,$G$6:$G$370)," / ",SUMIF($D$6:$D$370,D217,$G$6:$G$370))</f>
        <v>73 / 402,5</v>
      </c>
      <c r="N217" s="28" t="str">
        <f>CONCATENATE(SUM($G$6:$G217)," / ",SUM($G$6:$G$370))</f>
        <v>1112 / 2316,5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548</v>
      </c>
      <c r="G218" s="193"/>
      <c r="H218" s="194" t="str">
        <f>CONCATENATE(SUMIF($C$6:$C218,C218,$E$6:$E$370)," / ",SUMIF($C$6:$C$370,C218,$E$6:$E$370))</f>
        <v>33 / 33</v>
      </c>
      <c r="I218" s="194" t="str">
        <f>CONCATENATE(SUMIF($D$6:$D218,D218,$E$6:$E$370)," / ",SUMIF($D$6:$D$370,D218,$E$6:$E$370))</f>
        <v>33 / 150,5</v>
      </c>
      <c r="J218" s="194" t="str">
        <f>CONCATENATE(SUM($E$6:$E218)," / ",SUM($E$6:$E$370))</f>
        <v>1449,5 / 2214</v>
      </c>
      <c r="K218" s="196" t="s">
        <v>379</v>
      </c>
      <c r="L218" s="28" t="str">
        <f>CONCATENATE(SUMIF($C$6:$C218,C218,$G$6:$G$370)," / ",SUMIF($C$6:$C$370,C218,$G$6:$G$370))</f>
        <v>111 / 111</v>
      </c>
      <c r="M218" s="28" t="str">
        <f>CONCATENATE(SUMIF($D$6:$D218,D218,$G$6:$G$370)," / ",SUMIF($D$6:$D$370,D218,$G$6:$G$370))</f>
        <v>73 / 402,5</v>
      </c>
      <c r="N218" s="28" t="str">
        <f>CONCATENATE(SUM($G$6:$G218)," / ",SUM($G$6:$G$370))</f>
        <v>1112 / 2316,5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552</v>
      </c>
      <c r="G219" s="124">
        <v>48</v>
      </c>
      <c r="H219" s="28" t="str">
        <f>CONCATENATE(SUMIF($C$6:$C219,C219,$E$6:$E$370)," / ",SUMIF($C$6:$C$370,C219,$E$6:$E$370))</f>
        <v>0 / 31,5</v>
      </c>
      <c r="I219" s="28" t="str">
        <f>CONCATENATE(SUMIF($D$6:$D219,D219,$E$6:$E$370)," / ",SUMIF($D$6:$D$370,D219,$E$6:$E$370))</f>
        <v>33 / 150,5</v>
      </c>
      <c r="J219" s="28" t="str">
        <f>CONCATENATE(SUM($E$6:$E219)," / ",SUM($E$6:$E$370))</f>
        <v>1449,5 / 2214</v>
      </c>
      <c r="K219" s="24"/>
      <c r="L219" s="28" t="str">
        <f>CONCATENATE(SUMIF($C$6:$C219,C219,$G$6:$G$370)," / ",SUMIF($C$6:$C$370,C219,$G$6:$G$370))</f>
        <v>48 / 130,5</v>
      </c>
      <c r="M219" s="28" t="str">
        <f>CONCATENATE(SUMIF($D$6:$D219,D219,$G$6:$G$370)," / ",SUMIF($D$6:$D$370,D219,$G$6:$G$370))</f>
        <v>121 / 402,5</v>
      </c>
      <c r="N219" s="28" t="str">
        <f>CONCATENATE(SUM($G$6:$G219)," / ",SUM($G$6:$G$370))</f>
        <v>1160 / 2316,5</v>
      </c>
      <c r="O219" s="24" t="s">
        <v>488</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2214</v>
      </c>
      <c r="K220" s="24"/>
      <c r="L220" s="28" t="str">
        <f>CONCATENATE(SUMIF($C$6:$C220,C220,$G$6:$G$370)," / ",SUMIF($C$6:$C$370,C220,$G$6:$G$370))</f>
        <v>48 / 130,5</v>
      </c>
      <c r="M220" s="28" t="str">
        <f>CONCATENATE(SUMIF($D$6:$D220,D220,$G$6:$G$370)," / ",SUMIF($D$6:$D$370,D220,$G$6:$G$370))</f>
        <v>121 / 402,5</v>
      </c>
      <c r="N220" s="28" t="str">
        <f>CONCATENATE(SUM($G$6:$G220)," / ",SUM($G$6:$G$370))</f>
        <v>1160 / 2316,5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553</v>
      </c>
      <c r="G221" s="124"/>
      <c r="H221" s="28" t="str">
        <f>CONCATENATE(SUMIF($C$6:$C221,C221,$E$6:$E$370)," / ",SUMIF($C$6:$C$370,C221,$E$6:$E$370))</f>
        <v>15 / 31,5</v>
      </c>
      <c r="I221" s="28" t="str">
        <f>CONCATENATE(SUMIF($D$6:$D221,D221,$E$6:$E$370)," / ",SUMIF($D$6:$D$370,D221,$E$6:$E$370))</f>
        <v>48 / 150,5</v>
      </c>
      <c r="J221" s="28" t="str">
        <f>CONCATENATE(SUM($E$6:$E221)," / ",SUM($E$6:$E$370))</f>
        <v>1464,5 / 2214</v>
      </c>
      <c r="K221" s="24" t="s">
        <v>477</v>
      </c>
      <c r="L221" s="28" t="str">
        <f>CONCATENATE(SUMIF($C$6:$C221,C221,$G$6:$G$370)," / ",SUMIF($C$6:$C$370,C221,$G$6:$G$370))</f>
        <v>48 / 130,5</v>
      </c>
      <c r="M221" s="28" t="str">
        <f>CONCATENATE(SUMIF($D$6:$D221,D221,$G$6:$G$370)," / ",SUMIF($D$6:$D$370,D221,$G$6:$G$370))</f>
        <v>121 / 402,5</v>
      </c>
      <c r="N221" s="28" t="str">
        <f>CONCATENATE(SUM($G$6:$G221)," / ",SUM($G$6:$G$370))</f>
        <v>1160 / 2316,5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2214</v>
      </c>
      <c r="K222" s="24"/>
      <c r="L222" s="28" t="str">
        <f>CONCATENATE(SUMIF($C$6:$C222,C222,$G$6:$G$370)," / ",SUMIF($C$6:$C$370,C222,$G$6:$G$370))</f>
        <v>93 / 130,5</v>
      </c>
      <c r="M222" s="28" t="str">
        <f>CONCATENATE(SUMIF($D$6:$D222,D222,$G$6:$G$370)," / ",SUMIF($D$6:$D$370,D222,$G$6:$G$370))</f>
        <v>166 / 402,5</v>
      </c>
      <c r="N222" s="28" t="str">
        <f>CONCATENATE(SUM($G$6:$G222)," / ",SUM($G$6:$G$370))</f>
        <v>1205 / 2316,5</v>
      </c>
      <c r="O222" s="24" t="s">
        <v>488</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554</v>
      </c>
      <c r="G223" s="124"/>
      <c r="H223" s="28" t="str">
        <f>CONCATENATE(SUMIF($C$6:$C223,C223,$E$6:$E$370)," / ",SUMIF($C$6:$C$370,C223,$E$6:$E$370))</f>
        <v>15 / 31,5</v>
      </c>
      <c r="I223" s="28" t="str">
        <f>CONCATENATE(SUMIF($D$6:$D223,D223,$E$6:$E$370)," / ",SUMIF($D$6:$D$370,D223,$E$6:$E$370))</f>
        <v>48 / 150,5</v>
      </c>
      <c r="J223" s="28" t="str">
        <f>CONCATENATE(SUM($E$6:$E223)," / ",SUM($E$6:$E$370))</f>
        <v>1464,5 / 2214</v>
      </c>
      <c r="K223" s="24"/>
      <c r="L223" s="28" t="str">
        <f>CONCATENATE(SUMIF($C$6:$C223,C223,$G$6:$G$370)," / ",SUMIF($C$6:$C$370,C223,$G$6:$G$370))</f>
        <v>93 / 130,5</v>
      </c>
      <c r="M223" s="28" t="str">
        <f>CONCATENATE(SUMIF($D$6:$D223,D223,$G$6:$G$370)," / ",SUMIF($D$6:$D$370,D223,$G$6:$G$370))</f>
        <v>166 / 402,5</v>
      </c>
      <c r="N223" s="28" t="str">
        <f>CONCATENATE(SUM($G$6:$G223)," / ",SUM($G$6:$G$370))</f>
        <v>1205 / 2316,5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555</v>
      </c>
      <c r="G224" s="124">
        <v>37.5</v>
      </c>
      <c r="H224" s="28" t="str">
        <f>CONCATENATE(SUMIF($C$6:$C224,C224,$E$6:$E$370)," / ",SUMIF($C$6:$C$370,C224,$E$6:$E$370))</f>
        <v>15 / 31,5</v>
      </c>
      <c r="I224" s="28" t="str">
        <f>CONCATENATE(SUMIF($D$6:$D224,D224,$E$6:$E$370)," / ",SUMIF($D$6:$D$370,D224,$E$6:$E$370))</f>
        <v>48 / 150,5</v>
      </c>
      <c r="J224" s="28" t="str">
        <f>CONCATENATE(SUM($E$6:$E224)," / ",SUM($E$6:$E$370))</f>
        <v>1464,5 / 2214</v>
      </c>
      <c r="K224" s="24"/>
      <c r="L224" s="28" t="str">
        <f>CONCATENATE(SUMIF($C$6:$C224,C224,$G$6:$G$370)," / ",SUMIF($C$6:$C$370,C224,$G$6:$G$370))</f>
        <v>130,5 / 130,5</v>
      </c>
      <c r="M224" s="28" t="str">
        <f>CONCATENATE(SUMIF($D$6:$D224,D224,$G$6:$G$370)," / ",SUMIF($D$6:$D$370,D224,$G$6:$G$370))</f>
        <v>203,5 / 402,5</v>
      </c>
      <c r="N224" s="28" t="str">
        <f>CONCATENATE(SUM($G$6:$G224)," / ",SUM($G$6:$G$370))</f>
        <v>1242,5 / 2316,5</v>
      </c>
      <c r="O224" s="24" t="s">
        <v>488</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551</v>
      </c>
      <c r="G225" s="124"/>
      <c r="H225" s="28" t="str">
        <f>CONCATENATE(SUMIF($C$6:$C225,C225,$E$6:$E$370)," / ",SUMIF($C$6:$C$370,C225,$E$6:$E$370))</f>
        <v>31,5 / 31,5</v>
      </c>
      <c r="I225" s="28" t="str">
        <f>CONCATENATE(SUMIF($D$6:$D225,D225,$E$6:$E$370)," / ",SUMIF($D$6:$D$370,D225,$E$6:$E$370))</f>
        <v>64,5 / 150,5</v>
      </c>
      <c r="J225" s="28" t="str">
        <f>CONCATENATE(SUM($E$6:$E225)," / ",SUM($E$6:$E$370))</f>
        <v>1481 / 2214</v>
      </c>
      <c r="K225" s="24" t="s">
        <v>477</v>
      </c>
      <c r="L225" s="28" t="str">
        <f>CONCATENATE(SUMIF($C$6:$C225,C225,$G$6:$G$370)," / ",SUMIF($C$6:$C$370,C225,$G$6:$G$370))</f>
        <v>130,5 / 130,5</v>
      </c>
      <c r="M225" s="28" t="str">
        <f>CONCATENATE(SUMIF($D$6:$D225,D225,$G$6:$G$370)," / ",SUMIF($D$6:$D$370,D225,$G$6:$G$370))</f>
        <v>203,5 / 402,5</v>
      </c>
      <c r="N225" s="28" t="str">
        <f>CONCATENATE(SUM($G$6:$G225)," / ",SUM($G$6:$G$370))</f>
        <v>1242,5 / 2316,5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2214</v>
      </c>
      <c r="K226" s="24"/>
      <c r="L226" s="28" t="str">
        <f>CONCATENATE(SUMIF($C$6:$C226,C226,$G$6:$G$370)," / ",SUMIF($C$6:$C$370,C226,$G$6:$G$370))</f>
        <v>0 / 50</v>
      </c>
      <c r="M226" s="28" t="str">
        <f>CONCATENATE(SUMIF($D$6:$D226,D226,$G$6:$G$370)," / ",SUMIF($D$6:$D$370,D226,$G$6:$G$370))</f>
        <v>203,5 / 402,5</v>
      </c>
      <c r="N226" s="28" t="str">
        <f>CONCATENATE(SUM($G$6:$G226)," / ",SUM($G$6:$G$370))</f>
        <v>1242,5 / 2316,5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2214</v>
      </c>
      <c r="K227" s="24"/>
      <c r="L227" s="28" t="str">
        <f>CONCATENATE(SUMIF($C$6:$C227,C227,$G$6:$G$370)," / ",SUMIF($C$6:$C$370,C227,$G$6:$G$370))</f>
        <v>0 / 50</v>
      </c>
      <c r="M227" s="28" t="str">
        <f>CONCATENATE(SUMIF($D$6:$D227,D227,$G$6:$G$370)," / ",SUMIF($D$6:$D$370,D227,$G$6:$G$370))</f>
        <v>203,5 / 402,5</v>
      </c>
      <c r="N227" s="28" t="str">
        <f>CONCATENATE(SUM($G$6:$G227)," / ",SUM($G$6:$G$370))</f>
        <v>1242,5 / 2316,5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557</v>
      </c>
      <c r="G228" s="124"/>
      <c r="H228" s="28" t="str">
        <f>CONCATENATE(SUMIF($C$6:$C228,C228,$E$6:$E$370)," / ",SUMIF($C$6:$C$370,C228,$E$6:$E$370))</f>
        <v>0 / 22</v>
      </c>
      <c r="I228" s="28" t="str">
        <f>CONCATENATE(SUMIF($D$6:$D228,D228,$E$6:$E$370)," / ",SUMIF($D$6:$D$370,D228,$E$6:$E$370))</f>
        <v>64,5 / 150,5</v>
      </c>
      <c r="J228" s="28" t="str">
        <f>CONCATENATE(SUM($E$6:$E228)," / ",SUM($E$6:$E$370))</f>
        <v>1481 / 2214</v>
      </c>
      <c r="K228" s="24"/>
      <c r="L228" s="28" t="str">
        <f>CONCATENATE(SUMIF($C$6:$C228,C228,$G$6:$G$370)," / ",SUMIF($C$6:$C$370,C228,$G$6:$G$370))</f>
        <v>0 / 50</v>
      </c>
      <c r="M228" s="28" t="str">
        <f>CONCATENATE(SUMIF($D$6:$D228,D228,$G$6:$G$370)," / ",SUMIF($D$6:$D$370,D228,$G$6:$G$370))</f>
        <v>203,5 / 402,5</v>
      </c>
      <c r="N228" s="28" t="str">
        <f>CONCATENATE(SUM($G$6:$G228)," / ",SUM($G$6:$G$370))</f>
        <v>1242,5 / 2316,5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2214</v>
      </c>
      <c r="K229" s="24"/>
      <c r="L229" s="28" t="str">
        <f>CONCATENATE(SUMIF($C$6:$C229,C229,$G$6:$G$370)," / ",SUMIF($C$6:$C$370,C229,$G$6:$G$370))</f>
        <v>0 / 50</v>
      </c>
      <c r="M229" s="28" t="str">
        <f>CONCATENATE(SUMIF($D$6:$D229,D229,$G$6:$G$370)," / ",SUMIF($D$6:$D$370,D229,$G$6:$G$370))</f>
        <v>203,5 / 402,5</v>
      </c>
      <c r="N229" s="28" t="str">
        <f>CONCATENATE(SUM($G$6:$G229)," / ",SUM($G$6:$G$370))</f>
        <v>1242,5 / 2316,5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556</v>
      </c>
      <c r="G230" s="124">
        <v>50</v>
      </c>
      <c r="H230" s="28" t="str">
        <f>CONCATENATE(SUMIF($C$6:$C230,C230,$E$6:$E$370)," / ",SUMIF($C$6:$C$370,C230,$E$6:$E$370))</f>
        <v>0 / 22</v>
      </c>
      <c r="I230" s="28" t="str">
        <f>CONCATENATE(SUMIF($D$6:$D230,D230,$E$6:$E$370)," / ",SUMIF($D$6:$D$370,D230,$E$6:$E$370))</f>
        <v>64,5 / 150,5</v>
      </c>
      <c r="J230" s="28" t="str">
        <f>CONCATENATE(SUM($E$6:$E230)," / ",SUM($E$6:$E$370))</f>
        <v>1481 / 2214</v>
      </c>
      <c r="K230" s="24"/>
      <c r="L230" s="28" t="str">
        <f>CONCATENATE(SUMIF($C$6:$C230,C230,$G$6:$G$370)," / ",SUMIF($C$6:$C$370,C230,$G$6:$G$370))</f>
        <v>50 / 50</v>
      </c>
      <c r="M230" s="28" t="str">
        <f>CONCATENATE(SUMIF($D$6:$D230,D230,$G$6:$G$370)," / ",SUMIF($D$6:$D$370,D230,$G$6:$G$370))</f>
        <v>253,5 / 402,5</v>
      </c>
      <c r="N230" s="28" t="str">
        <f>CONCATENATE(SUM($G$6:$G230)," / ",SUM($G$6:$G$370))</f>
        <v>1292,5 / 2316,5</v>
      </c>
      <c r="O230" s="24" t="s">
        <v>488</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558</v>
      </c>
      <c r="G231" s="124"/>
      <c r="H231" s="28" t="str">
        <f>CONCATENATE(SUMIF($C$6:$C231,C231,$E$6:$E$370)," / ",SUMIF($C$6:$C$370,C231,$E$6:$E$370))</f>
        <v>10 / 22</v>
      </c>
      <c r="I231" s="28" t="str">
        <f>CONCATENATE(SUMIF($D$6:$D231,D231,$E$6:$E$370)," / ",SUMIF($D$6:$D$370,D231,$E$6:$E$370))</f>
        <v>74,5 / 150,5</v>
      </c>
      <c r="J231" s="28" t="str">
        <f>CONCATENATE(SUM($E$6:$E231)," / ",SUM($E$6:$E$370))</f>
        <v>1491 / 2214</v>
      </c>
      <c r="K231" s="24" t="s">
        <v>477</v>
      </c>
      <c r="L231" s="28" t="str">
        <f>CONCATENATE(SUMIF($C$6:$C231,C231,$G$6:$G$370)," / ",SUMIF($C$6:$C$370,C231,$G$6:$G$370))</f>
        <v>50 / 50</v>
      </c>
      <c r="M231" s="28" t="str">
        <f>CONCATENATE(SUMIF($D$6:$D231,D231,$G$6:$G$370)," / ",SUMIF($D$6:$D$370,D231,$G$6:$G$370))</f>
        <v>253,5 / 402,5</v>
      </c>
      <c r="N231" s="28" t="str">
        <f>CONCATENATE(SUM($G$6:$G231)," / ",SUM($G$6:$G$370))</f>
        <v>1292,5 / 2316,5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560</v>
      </c>
      <c r="G232" s="124"/>
      <c r="H232" s="28" t="str">
        <f>CONCATENATE(SUMIF($C$6:$C232,C232,$E$6:$E$370)," / ",SUMIF($C$6:$C$370,C232,$E$6:$E$370))</f>
        <v>22 / 22</v>
      </c>
      <c r="I232" s="28" t="str">
        <f>CONCATENATE(SUMIF($D$6:$D232,D232,$E$6:$E$370)," / ",SUMIF($D$6:$D$370,D232,$E$6:$E$370))</f>
        <v>86,5 / 150,5</v>
      </c>
      <c r="J232" s="28" t="str">
        <f>CONCATENATE(SUM($E$6:$E232)," / ",SUM($E$6:$E$370))</f>
        <v>1503 / 2214</v>
      </c>
      <c r="K232" s="24" t="s">
        <v>477</v>
      </c>
      <c r="L232" s="28" t="str">
        <f>CONCATENATE(SUMIF($C$6:$C232,C232,$G$6:$G$370)," / ",SUMIF($C$6:$C$370,C232,$G$6:$G$370))</f>
        <v>50 / 50</v>
      </c>
      <c r="M232" s="28" t="str">
        <f>CONCATENATE(SUMIF($D$6:$D232,D232,$G$6:$G$370)," / ",SUMIF($D$6:$D$370,D232,$G$6:$G$370))</f>
        <v>253,5 / 402,5</v>
      </c>
      <c r="N232" s="28" t="str">
        <f>CONCATENATE(SUM($G$6:$G232)," / ",SUM($G$6:$G$370))</f>
        <v>1292,5 / 2316,5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561</v>
      </c>
      <c r="G233" s="124">
        <v>50</v>
      </c>
      <c r="H233" s="28" t="str">
        <f>CONCATENATE(SUMIF($C$6:$C233,C233,$E$6:$E$370)," / ",SUMIF($C$6:$C$370,C233,$E$6:$E$370))</f>
        <v>0 / 9</v>
      </c>
      <c r="I233" s="28" t="str">
        <f>CONCATENATE(SUMIF($D$6:$D233,D233,$E$6:$E$370)," / ",SUMIF($D$6:$D$370,D233,$E$6:$E$370))</f>
        <v>86,5 / 150,5</v>
      </c>
      <c r="J233" s="28" t="str">
        <f>CONCATENATE(SUM($E$6:$E233)," / ",SUM($E$6:$E$370))</f>
        <v>1503 / 2214</v>
      </c>
      <c r="K233" s="24"/>
      <c r="L233" s="28" t="str">
        <f>CONCATENATE(SUMIF($C$6:$C233,C233,$G$6:$G$370)," / ",SUMIF($C$6:$C$370,C233,$G$6:$G$370))</f>
        <v>50 / 50</v>
      </c>
      <c r="M233" s="28" t="str">
        <f>CONCATENATE(SUMIF($D$6:$D233,D233,$G$6:$G$370)," / ",SUMIF($D$6:$D$370,D233,$G$6:$G$370))</f>
        <v>303,5 / 402,5</v>
      </c>
      <c r="N233" s="28" t="str">
        <f>CONCATENATE(SUM($G$6:$G233)," / ",SUM($G$6:$G$370))</f>
        <v>1342,5 / 2316,5</v>
      </c>
      <c r="O233" s="24" t="s">
        <v>488</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2214</v>
      </c>
      <c r="K234" s="24"/>
      <c r="L234" s="28" t="str">
        <f>CONCATENATE(SUMIF($C$6:$C234,C234,$G$6:$G$370)," / ",SUMIF($C$6:$C$370,C234,$G$6:$G$370))</f>
        <v>50 / 50</v>
      </c>
      <c r="M234" s="28" t="str">
        <f>CONCATENATE(SUMIF($D$6:$D234,D234,$G$6:$G$370)," / ",SUMIF($D$6:$D$370,D234,$G$6:$G$370))</f>
        <v>303,5 / 402,5</v>
      </c>
      <c r="N234" s="28" t="str">
        <f>CONCATENATE(SUM($G$6:$G234)," / ",SUM($G$6:$G$370))</f>
        <v>1342,5 / 2316,5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562</v>
      </c>
      <c r="G235" s="124"/>
      <c r="H235" s="28" t="str">
        <f>CONCATENATE(SUMIF($C$6:$C235,C235,$E$6:$E$370)," / ",SUMIF($C$6:$C$370,C235,$E$6:$E$370))</f>
        <v>0 / 9</v>
      </c>
      <c r="I235" s="28" t="str">
        <f>CONCATENATE(SUMIF($D$6:$D235,D235,$E$6:$E$370)," / ",SUMIF($D$6:$D$370,D235,$E$6:$E$370))</f>
        <v>86,5 / 150,5</v>
      </c>
      <c r="J235" s="28" t="str">
        <f>CONCATENATE(SUM($E$6:$E235)," / ",SUM($E$6:$E$370))</f>
        <v>1503 / 2214</v>
      </c>
      <c r="K235" s="24"/>
      <c r="L235" s="28" t="str">
        <f>CONCATENATE(SUMIF($C$6:$C235,C235,$G$6:$G$370)," / ",SUMIF($C$6:$C$370,C235,$G$6:$G$370))</f>
        <v>50 / 50</v>
      </c>
      <c r="M235" s="28" t="str">
        <f>CONCATENATE(SUMIF($D$6:$D235,D235,$G$6:$G$370)," / ",SUMIF($D$6:$D$370,D235,$G$6:$G$370))</f>
        <v>303,5 / 402,5</v>
      </c>
      <c r="N235" s="28" t="str">
        <f>CONCATENATE(SUM($G$6:$G235)," / ",SUM($G$6:$G$370))</f>
        <v>1342,5 / 2316,5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563</v>
      </c>
      <c r="G236" s="124"/>
      <c r="H236" s="28" t="str">
        <f>CONCATENATE(SUMIF($C$6:$C236,C236,$E$6:$E$370)," / ",SUMIF($C$6:$C$370,C236,$E$6:$E$370))</f>
        <v>0 / 9</v>
      </c>
      <c r="I236" s="28" t="str">
        <f>CONCATENATE(SUMIF($D$6:$D236,D236,$E$6:$E$370)," / ",SUMIF($D$6:$D$370,D236,$E$6:$E$370))</f>
        <v>86,5 / 150,5</v>
      </c>
      <c r="J236" s="28" t="str">
        <f>CONCATENATE(SUM($E$6:$E236)," / ",SUM($E$6:$E$370))</f>
        <v>1503 / 2214</v>
      </c>
      <c r="K236" s="24"/>
      <c r="L236" s="28" t="str">
        <f>CONCATENATE(SUMIF($C$6:$C236,C236,$G$6:$G$370)," / ",SUMIF($C$6:$C$370,C236,$G$6:$G$370))</f>
        <v>50 / 50</v>
      </c>
      <c r="M236" s="28" t="str">
        <f>CONCATENATE(SUMIF($D$6:$D236,D236,$G$6:$G$370)," / ",SUMIF($D$6:$D$370,D236,$G$6:$G$370))</f>
        <v>303,5 / 402,5</v>
      </c>
      <c r="N236" s="28" t="str">
        <f>CONCATENATE(SUM($G$6:$G236)," / ",SUM($G$6:$G$370))</f>
        <v>1342,5 / 2316,5</v>
      </c>
      <c r="O236" s="24" t="s">
        <v>488</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2214</v>
      </c>
      <c r="K237" s="24"/>
      <c r="L237" s="28" t="str">
        <f>CONCATENATE(SUMIF($C$6:$C237,C237,$G$6:$G$370)," / ",SUMIF($C$6:$C$370,C237,$G$6:$G$370))</f>
        <v>50 / 50</v>
      </c>
      <c r="M237" s="28" t="str">
        <f>CONCATENATE(SUMIF($D$6:$D237,D237,$G$6:$G$370)," / ",SUMIF($D$6:$D$370,D237,$G$6:$G$370))</f>
        <v>303,5 / 402,5</v>
      </c>
      <c r="N237" s="28" t="str">
        <f>CONCATENATE(SUM($G$6:$G237)," / ",SUM($G$6:$G$370))</f>
        <v>1342,5 / 2316,5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564</v>
      </c>
      <c r="G238" s="124"/>
      <c r="H238" s="28" t="str">
        <f>CONCATENATE(SUMIF($C$6:$C238,C238,$E$6:$E$370)," / ",SUMIF($C$6:$C$370,C238,$E$6:$E$370))</f>
        <v>9 / 9</v>
      </c>
      <c r="I238" s="28" t="str">
        <f>CONCATENATE(SUMIF($D$6:$D238,D238,$E$6:$E$370)," / ",SUMIF($D$6:$D$370,D238,$E$6:$E$370))</f>
        <v>95,5 / 150,5</v>
      </c>
      <c r="J238" s="28" t="str">
        <f>CONCATENATE(SUM($E$6:$E238)," / ",SUM($E$6:$E$370))</f>
        <v>1512 / 2214</v>
      </c>
      <c r="K238" s="24" t="s">
        <v>477</v>
      </c>
      <c r="L238" s="28" t="str">
        <f>CONCATENATE(SUMIF($C$6:$C238,C238,$G$6:$G$370)," / ",SUMIF($C$6:$C$370,C238,$G$6:$G$370))</f>
        <v>50 / 50</v>
      </c>
      <c r="M238" s="28" t="str">
        <f>CONCATENATE(SUMIF($D$6:$D238,D238,$G$6:$G$370)," / ",SUMIF($D$6:$D$370,D238,$G$6:$G$370))</f>
        <v>303,5 / 402,5</v>
      </c>
      <c r="N238" s="28" t="str">
        <f>CONCATENATE(SUM($G$6:$G238)," / ",SUM($G$6:$G$370))</f>
        <v>1342,5 / 2316,5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2214</v>
      </c>
      <c r="K239" s="24"/>
      <c r="L239" s="28" t="str">
        <f>CONCATENATE(SUMIF($C$6:$C239,C239,$G$6:$G$370)," / ",SUMIF($C$6:$C$370,C239,$G$6:$G$370))</f>
        <v>50 / 50</v>
      </c>
      <c r="M239" s="28" t="str">
        <f>CONCATENATE(SUMIF($D$6:$D239,D239,$G$6:$G$370)," / ",SUMIF($D$6:$D$370,D239,$G$6:$G$370))</f>
        <v>303,5 / 402,5</v>
      </c>
      <c r="N239" s="28" t="str">
        <f>CONCATENATE(SUM($G$6:$G239)," / ",SUM($G$6:$G$370))</f>
        <v>1342,5 / 2316,5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566</v>
      </c>
      <c r="G240" s="193"/>
      <c r="H240" s="194" t="str">
        <f>CONCATENATE(SUMIF($C$6:$C240,C240,$E$6:$E$370)," / ",SUMIF($C$6:$C$370,C240,$E$6:$E$370))</f>
        <v>51 / 55</v>
      </c>
      <c r="I240" s="194" t="str">
        <f>CONCATENATE(SUMIF($D$6:$D240,D240,$E$6:$E$370)," / ",SUMIF($D$6:$D$370,D240,$E$6:$E$370))</f>
        <v>146,5 / 150,5</v>
      </c>
      <c r="J240" s="194" t="str">
        <f>CONCATENATE(SUM($E$6:$E240)," / ",SUM($E$6:$E$370))</f>
        <v>1563 / 2214</v>
      </c>
      <c r="K240" s="196" t="s">
        <v>477</v>
      </c>
      <c r="L240" s="28" t="str">
        <f>CONCATENATE(SUMIF($C$6:$C240,C240,$G$6:$G$370)," / ",SUMIF($C$6:$C$370,C240,$G$6:$G$370))</f>
        <v>0 / 99</v>
      </c>
      <c r="M240" s="28" t="str">
        <f>CONCATENATE(SUMIF($D$6:$D240,D240,$G$6:$G$370)," / ",SUMIF($D$6:$D$370,D240,$G$6:$G$370))</f>
        <v>303,5 / 402,5</v>
      </c>
      <c r="N240" s="28" t="str">
        <f>CONCATENATE(SUM($G$6:$G240)," / ",SUM($G$6:$G$370))</f>
        <v>1342,5 / 2316,5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565</v>
      </c>
      <c r="G241" s="124">
        <v>45</v>
      </c>
      <c r="H241" s="28" t="str">
        <f>CONCATENATE(SUMIF($C$6:$C241,C241,$E$6:$E$370)," / ",SUMIF($C$6:$C$370,C241,$E$6:$E$370))</f>
        <v>51 / 55</v>
      </c>
      <c r="I241" s="28" t="str">
        <f>CONCATENATE(SUMIF($D$6:$D241,D241,$E$6:$E$370)," / ",SUMIF($D$6:$D$370,D241,$E$6:$E$370))</f>
        <v>146,5 / 150,5</v>
      </c>
      <c r="J241" s="28" t="str">
        <f>CONCATENATE(SUM($E$6:$E241)," / ",SUM($E$6:$E$370))</f>
        <v>1563 / 2214</v>
      </c>
      <c r="K241" s="24"/>
      <c r="L241" s="28" t="str">
        <f>CONCATENATE(SUMIF($C$6:$C241,C241,$G$6:$G$370)," / ",SUMIF($C$6:$C$370,C241,$G$6:$G$370))</f>
        <v>45 / 99</v>
      </c>
      <c r="M241" s="28" t="str">
        <f>CONCATENATE(SUMIF($D$6:$D241,D241,$G$6:$G$370)," / ",SUMIF($D$6:$D$370,D241,$G$6:$G$370))</f>
        <v>348,5 / 402,5</v>
      </c>
      <c r="N241" s="28" t="str">
        <f>CONCATENATE(SUM($G$6:$G241)," / ",SUM($G$6:$G$370))</f>
        <v>1387,5 / 2316,5</v>
      </c>
      <c r="O241" s="24" t="s">
        <v>488</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567</v>
      </c>
      <c r="G242" s="124"/>
      <c r="H242" s="28" t="str">
        <f>CONCATENATE(SUMIF($C$6:$C242,C242,$E$6:$E$370)," / ",SUMIF($C$6:$C$370,C242,$E$6:$E$370))</f>
        <v>55 / 55</v>
      </c>
      <c r="I242" s="28" t="str">
        <f>CONCATENATE(SUMIF($D$6:$D242,D242,$E$6:$E$370)," / ",SUMIF($D$6:$D$370,D242,$E$6:$E$370))</f>
        <v>150,5 / 150,5</v>
      </c>
      <c r="J242" s="28" t="str">
        <f>CONCATENATE(SUM($E$6:$E242)," / ",SUM($E$6:$E$370))</f>
        <v>1567 / 2214</v>
      </c>
      <c r="K242" s="24" t="s">
        <v>379</v>
      </c>
      <c r="L242" s="28" t="str">
        <f>CONCATENATE(SUMIF($C$6:$C242,C242,$G$6:$G$370)," / ",SUMIF($C$6:$C$370,C242,$G$6:$G$370))</f>
        <v>45 / 99</v>
      </c>
      <c r="M242" s="28" t="str">
        <f>CONCATENATE(SUMIF($D$6:$D242,D242,$G$6:$G$370)," / ",SUMIF($D$6:$D$370,D242,$G$6:$G$370))</f>
        <v>348,5 / 402,5</v>
      </c>
      <c r="N242" s="28" t="str">
        <f>CONCATENATE(SUM($G$6:$G242)," / ",SUM($G$6:$G$370))</f>
        <v>1387,5 / 2316,5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568</v>
      </c>
      <c r="G243" s="124">
        <v>54</v>
      </c>
      <c r="H243" s="28" t="str">
        <f>CONCATENATE(SUMIF($C$6:$C243,C243,$E$6:$E$370)," / ",SUMIF($C$6:$C$370,C243,$E$6:$E$370))</f>
        <v>55 / 55</v>
      </c>
      <c r="I243" s="28" t="str">
        <f>CONCATENATE(SUMIF($D$6:$D243,D243,$E$6:$E$370)," / ",SUMIF($D$6:$D$370,D243,$E$6:$E$370))</f>
        <v>150,5 / 150,5</v>
      </c>
      <c r="J243" s="28" t="str">
        <f>CONCATENATE(SUM($E$6:$E243)," / ",SUM($E$6:$E$370))</f>
        <v>1567 / 2214</v>
      </c>
      <c r="K243" s="24"/>
      <c r="L243" s="28" t="str">
        <f>CONCATENATE(SUMIF($C$6:$C243,C243,$G$6:$G$370)," / ",SUMIF($C$6:$C$370,C243,$G$6:$G$370))</f>
        <v>99 / 99</v>
      </c>
      <c r="M243" s="28" t="str">
        <f>CONCATENATE(SUMIF($D$6:$D243,D243,$G$6:$G$370)," / ",SUMIF($D$6:$D$370,D243,$G$6:$G$370))</f>
        <v>402,5 / 402,5</v>
      </c>
      <c r="N243" s="28" t="str">
        <f>CONCATENATE(SUM($G$6:$G243)," / ",SUM($G$6:$G$370))</f>
        <v>1441,5 / 2316,5</v>
      </c>
      <c r="O243" s="24" t="s">
        <v>488</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2214</v>
      </c>
      <c r="K244" s="24"/>
      <c r="L244" s="28" t="str">
        <f>CONCATENATE(SUMIF($C$6:$C244,C244,$G$6:$G$370)," / ",SUMIF($C$6:$C$370,C244,$G$6:$G$370))</f>
        <v>99 / 99</v>
      </c>
      <c r="M244" s="28" t="str">
        <f>CONCATENATE(SUMIF($D$6:$D244,D244,$G$6:$G$370)," / ",SUMIF($D$6:$D$370,D244,$G$6:$G$370))</f>
        <v>0 / 306</v>
      </c>
      <c r="N244" s="28" t="str">
        <f>CONCATENATE(SUM($G$6:$G244)," / ",SUM($G$6:$G$370))</f>
        <v>1441,5 / 2316,5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2214</v>
      </c>
      <c r="K245" s="24"/>
      <c r="L245" s="28" t="str">
        <f>CONCATENATE(SUMIF($C$6:$C245,C245,$G$6:$G$370)," / ",SUMIF($C$6:$C$370,C245,$G$6:$G$370))</f>
        <v>99 / 99</v>
      </c>
      <c r="M245" s="28" t="str">
        <f>CONCATENATE(SUMIF($D$6:$D245,D245,$G$6:$G$370)," / ",SUMIF($D$6:$D$370,D245,$G$6:$G$370))</f>
        <v>0 / 306</v>
      </c>
      <c r="N245" s="28" t="str">
        <f>CONCATENATE(SUM($G$6:$G245)," / ",SUM($G$6:$G$370))</f>
        <v>1441,5 / 2316,5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570</v>
      </c>
      <c r="G246" s="124"/>
      <c r="H246" s="28" t="str">
        <f>CONCATENATE(SUMIF($C$6:$C246,C246,$E$6:$E$370)," / ",SUMIF($C$6:$C$370,C246,$E$6:$E$370))</f>
        <v>55 / 55</v>
      </c>
      <c r="I246" s="28" t="str">
        <f>CONCATENATE(SUMIF($D$6:$D246,D246,$E$6:$E$370)," / ",SUMIF($D$6:$D$370,D246,$E$6:$E$370))</f>
        <v>0 / 158</v>
      </c>
      <c r="J246" s="28" t="str">
        <f>CONCATENATE(SUM($E$6:$E246)," / ",SUM($E$6:$E$370))</f>
        <v>1567 / 2214</v>
      </c>
      <c r="K246" s="24" t="s">
        <v>379</v>
      </c>
      <c r="L246" s="28" t="str">
        <f>CONCATENATE(SUMIF($C$6:$C246,C246,$G$6:$G$370)," / ",SUMIF($C$6:$C$370,C246,$G$6:$G$370))</f>
        <v>99 / 99</v>
      </c>
      <c r="M246" s="28" t="str">
        <f>CONCATENATE(SUMIF($D$6:$D246,D246,$G$6:$G$370)," / ",SUMIF($D$6:$D$370,D246,$G$6:$G$370))</f>
        <v>0 / 306</v>
      </c>
      <c r="N246" s="28" t="str">
        <f>CONCATENATE(SUM($G$6:$G246)," / ",SUM($G$6:$G$370))</f>
        <v>1441,5 / 2316,5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572</v>
      </c>
      <c r="G247" s="124">
        <v>15</v>
      </c>
      <c r="H247" s="28" t="str">
        <f>CONCATENATE(SUMIF($C$6:$C247,C247,$E$6:$E$370)," / ",SUMIF($C$6:$C$370,C247,$E$6:$E$370))</f>
        <v>0 / 20</v>
      </c>
      <c r="I247" s="28" t="str">
        <f>CONCATENATE(SUMIF($D$6:$D247,D247,$E$6:$E$370)," / ",SUMIF($D$6:$D$370,D247,$E$6:$E$370))</f>
        <v>0 / 158</v>
      </c>
      <c r="J247" s="28" t="str">
        <f>CONCATENATE(SUM($E$6:$E247)," / ",SUM($E$6:$E$370))</f>
        <v>1567 / 2214</v>
      </c>
      <c r="K247" s="24"/>
      <c r="L247" s="28" t="str">
        <f>CONCATENATE(SUMIF($C$6:$C247,C247,$G$6:$G$370)," / ",SUMIF($C$6:$C$370,C247,$G$6:$G$370))</f>
        <v>15 / 124</v>
      </c>
      <c r="M247" s="28" t="str">
        <f>CONCATENATE(SUMIF($D$6:$D247,D247,$G$6:$G$370)," / ",SUMIF($D$6:$D$370,D247,$G$6:$G$370))</f>
        <v>15 / 306</v>
      </c>
      <c r="N247" s="28" t="str">
        <f>CONCATENATE(SUM($G$6:$G247)," / ",SUM($G$6:$G$370))</f>
        <v>1456,5 / 2316,5</v>
      </c>
      <c r="O247" s="24" t="s">
        <v>488</v>
      </c>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2214</v>
      </c>
      <c r="K248" s="24"/>
      <c r="L248" s="28" t="str">
        <f>CONCATENATE(SUMIF($C$6:$C248,C248,$G$6:$G$370)," / ",SUMIF($C$6:$C$370,C248,$G$6:$G$370))</f>
        <v>15 / 124</v>
      </c>
      <c r="M248" s="28" t="str">
        <f>CONCATENATE(SUMIF($D$6:$D248,D248,$G$6:$G$370)," / ",SUMIF($D$6:$D$370,D248,$G$6:$G$370))</f>
        <v>15 / 306</v>
      </c>
      <c r="N248" s="28" t="str">
        <f>CONCATENATE(SUM($G$6:$G248)," / ",SUM($G$6:$G$370))</f>
        <v>1456,5 / 2316,5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2214</v>
      </c>
      <c r="K249" s="24"/>
      <c r="L249" s="28" t="str">
        <f>CONCATENATE(SUMIF($C$6:$C249,C249,$G$6:$G$370)," / ",SUMIF($C$6:$C$370,C249,$G$6:$G$370))</f>
        <v>15 / 124</v>
      </c>
      <c r="M249" s="28" t="str">
        <f>CONCATENATE(SUMIF($D$6:$D249,D249,$G$6:$G$370)," / ",SUMIF($D$6:$D$370,D249,$G$6:$G$370))</f>
        <v>15 / 306</v>
      </c>
      <c r="N249" s="28" t="str">
        <f>CONCATENATE(SUM($G$6:$G249)," / ",SUM($G$6:$G$370))</f>
        <v>1456,5 / 2316,5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571</v>
      </c>
      <c r="G250" s="124">
        <v>36</v>
      </c>
      <c r="H250" s="28" t="str">
        <f>CONCATENATE(SUMIF($C$6:$C250,C250,$E$6:$E$370)," / ",SUMIF($C$6:$C$370,C250,$E$6:$E$370))</f>
        <v>0 / 20</v>
      </c>
      <c r="I250" s="28" t="str">
        <f>CONCATENATE(SUMIF($D$6:$D250,D250,$E$6:$E$370)," / ",SUMIF($D$6:$D$370,D250,$E$6:$E$370))</f>
        <v>0 / 158</v>
      </c>
      <c r="J250" s="28" t="str">
        <f>CONCATENATE(SUM($E$6:$E250)," / ",SUM($E$6:$E$370))</f>
        <v>1567 / 2214</v>
      </c>
      <c r="K250" s="24"/>
      <c r="L250" s="28" t="str">
        <f>CONCATENATE(SUMIF($C$6:$C250,C250,$G$6:$G$370)," / ",SUMIF($C$6:$C$370,C250,$G$6:$G$370))</f>
        <v>51 / 124</v>
      </c>
      <c r="M250" s="28" t="str">
        <f>CONCATENATE(SUMIF($D$6:$D250,D250,$G$6:$G$370)," / ",SUMIF($D$6:$D$370,D250,$G$6:$G$370))</f>
        <v>51 / 306</v>
      </c>
      <c r="N250" s="28" t="str">
        <f>CONCATENATE(SUM($G$6:$G250)," / ",SUM($G$6:$G$370))</f>
        <v>1492,5 / 2316,5</v>
      </c>
      <c r="O250" s="24" t="s">
        <v>488</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569</v>
      </c>
      <c r="G251" s="124">
        <v>30</v>
      </c>
      <c r="H251" s="28" t="str">
        <f>CONCATENATE(SUMIF($C$6:$C251,C251,$E$6:$E$370)," / ",SUMIF($C$6:$C$370,C251,$E$6:$E$370))</f>
        <v>0 / 20</v>
      </c>
      <c r="I251" s="28" t="str">
        <f>CONCATENATE(SUMIF($D$6:$D251,D251,$E$6:$E$370)," / ",SUMIF($D$6:$D$370,D251,$E$6:$E$370))</f>
        <v>0 / 158</v>
      </c>
      <c r="J251" s="28" t="str">
        <f>CONCATENATE(SUM($E$6:$E251)," / ",SUM($E$6:$E$370))</f>
        <v>1567 / 2214</v>
      </c>
      <c r="K251" s="24"/>
      <c r="L251" s="28" t="str">
        <f>CONCATENATE(SUMIF($C$6:$C251,C251,$G$6:$G$370)," / ",SUMIF($C$6:$C$370,C251,$G$6:$G$370))</f>
        <v>81 / 124</v>
      </c>
      <c r="M251" s="28" t="str">
        <f>CONCATENATE(SUMIF($D$6:$D251,D251,$G$6:$G$370)," / ",SUMIF($D$6:$D$370,D251,$G$6:$G$370))</f>
        <v>81 / 306</v>
      </c>
      <c r="N251" s="28" t="str">
        <f>CONCATENATE(SUM($G$6:$G251)," / ",SUM($G$6:$G$370))</f>
        <v>1522,5 / 2316,5</v>
      </c>
      <c r="O251" s="24" t="s">
        <v>488</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573</v>
      </c>
      <c r="G252" s="124">
        <v>43</v>
      </c>
      <c r="H252" s="28" t="str">
        <f>CONCATENATE(SUMIF($C$6:$C252,C252,$E$6:$E$370)," / ",SUMIF($C$6:$C$370,C252,$E$6:$E$370))</f>
        <v>6 / 20</v>
      </c>
      <c r="I252" s="28" t="str">
        <f>CONCATENATE(SUMIF($D$6:$D252,D252,$E$6:$E$370)," / ",SUMIF($D$6:$D$370,D252,$E$6:$E$370))</f>
        <v>6 / 158</v>
      </c>
      <c r="J252" s="28" t="str">
        <f>CONCATENATE(SUM($E$6:$E252)," / ",SUM($E$6:$E$370))</f>
        <v>1573 / 2214</v>
      </c>
      <c r="K252" s="24" t="s">
        <v>379</v>
      </c>
      <c r="L252" s="28" t="str">
        <f>CONCATENATE(SUMIF($C$6:$C252,C252,$G$6:$G$370)," / ",SUMIF($C$6:$C$370,C252,$G$6:$G$370))</f>
        <v>124 / 124</v>
      </c>
      <c r="M252" s="28" t="str">
        <f>CONCATENATE(SUMIF($D$6:$D252,D252,$G$6:$G$370)," / ",SUMIF($D$6:$D$370,D252,$G$6:$G$370))</f>
        <v>124 / 306</v>
      </c>
      <c r="N252" s="28" t="str">
        <f>CONCATENATE(SUM($G$6:$G252)," / ",SUM($G$6:$G$370))</f>
        <v>1565,5 / 2316,5</v>
      </c>
      <c r="O252" s="24" t="s">
        <v>488</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574</v>
      </c>
      <c r="G253" s="124"/>
      <c r="H253" s="28" t="str">
        <f>CONCATENATE(SUMIF($C$6:$C253,C253,$E$6:$E$370)," / ",SUMIF($C$6:$C$370,C253,$E$6:$E$370))</f>
        <v>20 / 20</v>
      </c>
      <c r="I253" s="28" t="str">
        <f>CONCATENATE(SUMIF($D$6:$D253,D253,$E$6:$E$370)," / ",SUMIF($D$6:$D$370,D253,$E$6:$E$370))</f>
        <v>20 / 158</v>
      </c>
      <c r="J253" s="28" t="str">
        <f>CONCATENATE(SUM($E$6:$E253)," / ",SUM($E$6:$E$370))</f>
        <v>1587 / 2214</v>
      </c>
      <c r="K253" s="24" t="s">
        <v>477</v>
      </c>
      <c r="L253" s="28" t="str">
        <f>CONCATENATE(SUMIF($C$6:$C253,C253,$G$6:$G$370)," / ",SUMIF($C$6:$C$370,C253,$G$6:$G$370))</f>
        <v>124 / 124</v>
      </c>
      <c r="M253" s="28" t="str">
        <f>CONCATENATE(SUMIF($D$6:$D253,D253,$G$6:$G$370)," / ",SUMIF($D$6:$D$370,D253,$G$6:$G$370))</f>
        <v>124 / 306</v>
      </c>
      <c r="N253" s="28" t="str">
        <f>CONCATENATE(SUM($G$6:$G253)," / ",SUM($G$6:$G$370))</f>
        <v>1565,5 / 2316,5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2214</v>
      </c>
      <c r="K254" s="24"/>
      <c r="L254" s="28" t="str">
        <f>CONCATENATE(SUMIF($C$6:$C254,C254,$G$6:$G$370)," / ",SUMIF($C$6:$C$370,C254,$G$6:$G$370))</f>
        <v>0 / 87</v>
      </c>
      <c r="M254" s="28" t="str">
        <f>CONCATENATE(SUMIF($D$6:$D254,D254,$G$6:$G$370)," / ",SUMIF($D$6:$D$370,D254,$G$6:$G$370))</f>
        <v>124 / 306</v>
      </c>
      <c r="N254" s="28" t="str">
        <f>CONCATENATE(SUM($G$6:$G254)," / ",SUM($G$6:$G$370))</f>
        <v>1565,5 / 2316,5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576</v>
      </c>
      <c r="G255" s="124">
        <v>45</v>
      </c>
      <c r="H255" s="28" t="str">
        <f>CONCATENATE(SUMIF($C$6:$C255,C255,$E$6:$E$370)," / ",SUMIF($C$6:$C$370,C255,$E$6:$E$370))</f>
        <v>10 / 62</v>
      </c>
      <c r="I255" s="28" t="str">
        <f>CONCATENATE(SUMIF($D$6:$D255,D255,$E$6:$E$370)," / ",SUMIF($D$6:$D$370,D255,$E$6:$E$370))</f>
        <v>30 / 158</v>
      </c>
      <c r="J255" s="28" t="str">
        <f>CONCATENATE(SUM($E$6:$E255)," / ",SUM($E$6:$E$370))</f>
        <v>1597 / 2214</v>
      </c>
      <c r="K255" s="24" t="s">
        <v>575</v>
      </c>
      <c r="L255" s="28" t="str">
        <f>CONCATENATE(SUMIF($C$6:$C255,C255,$G$6:$G$370)," / ",SUMIF($C$6:$C$370,C255,$G$6:$G$370))</f>
        <v>45 / 87</v>
      </c>
      <c r="M255" s="28" t="str">
        <f>CONCATENATE(SUMIF($D$6:$D255,D255,$G$6:$G$370)," / ",SUMIF($D$6:$D$370,D255,$G$6:$G$370))</f>
        <v>169 / 306</v>
      </c>
      <c r="N255" s="28" t="str">
        <f>CONCATENATE(SUM($G$6:$G255)," / ",SUM($G$6:$G$370))</f>
        <v>1610,5 / 2316,5</v>
      </c>
      <c r="O255" s="24" t="s">
        <v>488</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577</v>
      </c>
      <c r="G256" s="124">
        <v>42</v>
      </c>
      <c r="H256" s="28" t="str">
        <f>CONCATENATE(SUMIF($C$6:$C256,C256,$E$6:$E$370)," / ",SUMIF($C$6:$C$370,C256,$E$6:$E$370))</f>
        <v>20 / 62</v>
      </c>
      <c r="I256" s="28" t="str">
        <f>CONCATENATE(SUMIF($D$6:$D256,D256,$E$6:$E$370)," / ",SUMIF($D$6:$D$370,D256,$E$6:$E$370))</f>
        <v>40 / 158</v>
      </c>
      <c r="J256" s="28" t="str">
        <f>CONCATENATE(SUM($E$6:$E256)," / ",SUM($E$6:$E$370))</f>
        <v>1607 / 2214</v>
      </c>
      <c r="K256" s="24" t="s">
        <v>575</v>
      </c>
      <c r="L256" s="28" t="str">
        <f>CONCATENATE(SUMIF($C$6:$C256,C256,$G$6:$G$370)," / ",SUMIF($C$6:$C$370,C256,$G$6:$G$370))</f>
        <v>87 / 87</v>
      </c>
      <c r="M256" s="28" t="str">
        <f>CONCATENATE(SUMIF($D$6:$D256,D256,$G$6:$G$370)," / ",SUMIF($D$6:$D$370,D256,$G$6:$G$370))</f>
        <v>211 / 306</v>
      </c>
      <c r="N256" s="28" t="str">
        <f>CONCATENATE(SUM($G$6:$G256)," / ",SUM($G$6:$G$370))</f>
        <v>1652,5 / 2316,5</v>
      </c>
      <c r="O256" s="24" t="s">
        <v>488</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578</v>
      </c>
      <c r="G257" s="124"/>
      <c r="H257" s="28" t="str">
        <f>CONCATENATE(SUMIF($C$6:$C257,C257,$E$6:$E$370)," / ",SUMIF($C$6:$C$370,C257,$E$6:$E$370))</f>
        <v>30 / 62</v>
      </c>
      <c r="I257" s="28" t="str">
        <f>CONCATENATE(SUMIF($D$6:$D257,D257,$E$6:$E$370)," / ",SUMIF($D$6:$D$370,D257,$E$6:$E$370))</f>
        <v>50 / 158</v>
      </c>
      <c r="J257" s="28" t="str">
        <f>CONCATENATE(SUM($E$6:$E257)," / ",SUM($E$6:$E$370))</f>
        <v>1617 / 2214</v>
      </c>
      <c r="K257" s="24" t="s">
        <v>575</v>
      </c>
      <c r="L257" s="28" t="str">
        <f>CONCATENATE(SUMIF($C$6:$C257,C257,$G$6:$G$370)," / ",SUMIF($C$6:$C$370,C257,$G$6:$G$370))</f>
        <v>87 / 87</v>
      </c>
      <c r="M257" s="28" t="str">
        <f>CONCATENATE(SUMIF($D$6:$D257,D257,$G$6:$G$370)," / ",SUMIF($D$6:$D$370,D257,$G$6:$G$370))</f>
        <v>211 / 306</v>
      </c>
      <c r="N257" s="28" t="str">
        <f>CONCATENATE(SUM($G$6:$G257)," / ",SUM($G$6:$G$370))</f>
        <v>1652,5 / 2316,5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578</v>
      </c>
      <c r="G258" s="124"/>
      <c r="H258" s="28" t="str">
        <f>CONCATENATE(SUMIF($C$6:$C258,C258,$E$6:$E$370)," / ",SUMIF($C$6:$C$370,C258,$E$6:$E$370))</f>
        <v>40 / 62</v>
      </c>
      <c r="I258" s="28" t="str">
        <f>CONCATENATE(SUMIF($D$6:$D258,D258,$E$6:$E$370)," / ",SUMIF($D$6:$D$370,D258,$E$6:$E$370))</f>
        <v>60 / 158</v>
      </c>
      <c r="J258" s="28" t="str">
        <f>CONCATENATE(SUM($E$6:$E258)," / ",SUM($E$6:$E$370))</f>
        <v>1627 / 2214</v>
      </c>
      <c r="K258" s="24" t="s">
        <v>575</v>
      </c>
      <c r="L258" s="28" t="str">
        <f>CONCATENATE(SUMIF($C$6:$C258,C258,$G$6:$G$370)," / ",SUMIF($C$6:$C$370,C258,$G$6:$G$370))</f>
        <v>87 / 87</v>
      </c>
      <c r="M258" s="28" t="str">
        <f>CONCATENATE(SUMIF($D$6:$D258,D258,$G$6:$G$370)," / ",SUMIF($D$6:$D$370,D258,$G$6:$G$370))</f>
        <v>211 / 306</v>
      </c>
      <c r="N258" s="28" t="str">
        <f>CONCATENATE(SUM($G$6:$G258)," / ",SUM($G$6:$G$370))</f>
        <v>1652,5 / 2316,5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579</v>
      </c>
      <c r="G259" s="124"/>
      <c r="H259" s="28" t="str">
        <f>CONCATENATE(SUMIF($C$6:$C259,C259,$E$6:$E$370)," / ",SUMIF($C$6:$C$370,C259,$E$6:$E$370))</f>
        <v>50 / 62</v>
      </c>
      <c r="I259" s="28" t="str">
        <f>CONCATENATE(SUMIF($D$6:$D259,D259,$E$6:$E$370)," / ",SUMIF($D$6:$D$370,D259,$E$6:$E$370))</f>
        <v>70 / 158</v>
      </c>
      <c r="J259" s="28" t="str">
        <f>CONCATENATE(SUM($E$6:$E259)," / ",SUM($E$6:$E$370))</f>
        <v>1637 / 2214</v>
      </c>
      <c r="K259" s="24" t="s">
        <v>575</v>
      </c>
      <c r="L259" s="28" t="str">
        <f>CONCATENATE(SUMIF($C$6:$C259,C259,$G$6:$G$370)," / ",SUMIF($C$6:$C$370,C259,$G$6:$G$370))</f>
        <v>87 / 87</v>
      </c>
      <c r="M259" s="28" t="str">
        <f>CONCATENATE(SUMIF($D$6:$D259,D259,$G$6:$G$370)," / ",SUMIF($D$6:$D$370,D259,$G$6:$G$370))</f>
        <v>211 / 306</v>
      </c>
      <c r="N259" s="28" t="str">
        <f>CONCATENATE(SUM($G$6:$G259)," / ",SUM($G$6:$G$370))</f>
        <v>1652,5 / 2316,5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560</v>
      </c>
      <c r="G260" s="124"/>
      <c r="H260" s="28" t="str">
        <f>CONCATENATE(SUMIF($C$6:$C260,C260,$E$6:$E$370)," / ",SUMIF($C$6:$C$370,C260,$E$6:$E$370))</f>
        <v>62 / 62</v>
      </c>
      <c r="I260" s="28" t="str">
        <f>CONCATENATE(SUMIF($D$6:$D260,D260,$E$6:$E$370)," / ",SUMIF($D$6:$D$370,D260,$E$6:$E$370))</f>
        <v>82 / 158</v>
      </c>
      <c r="J260" s="28" t="str">
        <f>CONCATENATE(SUM($E$6:$E260)," / ",SUM($E$6:$E$370))</f>
        <v>1649 / 2214</v>
      </c>
      <c r="K260" s="24" t="s">
        <v>477</v>
      </c>
      <c r="L260" s="28" t="str">
        <f>CONCATENATE(SUMIF($C$6:$C260,C260,$G$6:$G$370)," / ",SUMIF($C$6:$C$370,C260,$G$6:$G$370))</f>
        <v>87 / 87</v>
      </c>
      <c r="M260" s="28" t="str">
        <f>CONCATENATE(SUMIF($D$6:$D260,D260,$G$6:$G$370)," / ",SUMIF($D$6:$D$370,D260,$G$6:$G$370))</f>
        <v>211 / 306</v>
      </c>
      <c r="N260" s="28" t="str">
        <f>CONCATENATE(SUM($G$6:$G260)," / ",SUM($G$6:$G$370))</f>
        <v>1652,5 / 2316,5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2214</v>
      </c>
      <c r="K261" s="24"/>
      <c r="L261" s="28" t="str">
        <f>CONCATENATE(SUMIF($C$6:$C261,C261,$G$6:$G$370)," / ",SUMIF($C$6:$C$370,C261,$G$6:$G$370))</f>
        <v>0 / 30</v>
      </c>
      <c r="M261" s="28" t="str">
        <f>CONCATENATE(SUMIF($D$6:$D261,D261,$G$6:$G$370)," / ",SUMIF($D$6:$D$370,D261,$G$6:$G$370))</f>
        <v>211 / 306</v>
      </c>
      <c r="N261" s="28" t="str">
        <f>CONCATENATE(SUM($G$6:$G261)," / ",SUM($G$6:$G$370))</f>
        <v>1652,5 / 2316,5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578</v>
      </c>
      <c r="G262" s="124"/>
      <c r="H262" s="28" t="str">
        <f>CONCATENATE(SUMIF($C$6:$C262,C262,$E$6:$E$370)," / ",SUMIF($C$6:$C$370,C262,$E$6:$E$370))</f>
        <v>10 / 57</v>
      </c>
      <c r="I262" s="28" t="str">
        <f>CONCATENATE(SUMIF($D$6:$D262,D262,$E$6:$E$370)," / ",SUMIF($D$6:$D$370,D262,$E$6:$E$370))</f>
        <v>92 / 158</v>
      </c>
      <c r="J262" s="28" t="str">
        <f>CONCATENATE(SUM($E$6:$E262)," / ",SUM($E$6:$E$370))</f>
        <v>1659 / 2214</v>
      </c>
      <c r="K262" s="24" t="s">
        <v>575</v>
      </c>
      <c r="L262" s="28" t="str">
        <f>CONCATENATE(SUMIF($C$6:$C262,C262,$G$6:$G$370)," / ",SUMIF($C$6:$C$370,C262,$G$6:$G$370))</f>
        <v>0 / 30</v>
      </c>
      <c r="M262" s="28" t="str">
        <f>CONCATENATE(SUMIF($D$6:$D262,D262,$G$6:$G$370)," / ",SUMIF($D$6:$D$370,D262,$G$6:$G$370))</f>
        <v>211 / 306</v>
      </c>
      <c r="N262" s="28" t="str">
        <f>CONCATENATE(SUM($G$6:$G262)," / ",SUM($G$6:$G$370))</f>
        <v>1652,5 / 2316,5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581</v>
      </c>
      <c r="G263" s="124">
        <v>30</v>
      </c>
      <c r="H263" s="28" t="str">
        <f>CONCATENATE(SUMIF($C$6:$C263,C263,$E$6:$E$370)," / ",SUMIF($C$6:$C$370,C263,$E$6:$E$370))</f>
        <v>26 / 57</v>
      </c>
      <c r="I263" s="28" t="str">
        <f>CONCATENATE(SUMIF($D$6:$D263,D263,$E$6:$E$370)," / ",SUMIF($D$6:$D$370,D263,$E$6:$E$370))</f>
        <v>108 / 158</v>
      </c>
      <c r="J263" s="28" t="str">
        <f>CONCATENATE(SUM($E$6:$E263)," / ",SUM($E$6:$E$370))</f>
        <v>1675 / 2214</v>
      </c>
      <c r="K263" s="24" t="s">
        <v>477</v>
      </c>
      <c r="L263" s="28" t="str">
        <f>CONCATENATE(SUMIF($C$6:$C263,C263,$G$6:$G$370)," / ",SUMIF($C$6:$C$370,C263,$G$6:$G$370))</f>
        <v>30 / 30</v>
      </c>
      <c r="M263" s="28" t="str">
        <f>CONCATENATE(SUMIF($D$6:$D263,D263,$G$6:$G$370)," / ",SUMIF($D$6:$D$370,D263,$G$6:$G$370))</f>
        <v>241 / 306</v>
      </c>
      <c r="N263" s="28" t="str">
        <f>CONCATENATE(SUM($G$6:$G263)," / ",SUM($G$6:$G$370))</f>
        <v>1682,5 / 2316,5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582</v>
      </c>
      <c r="G264" s="124"/>
      <c r="H264" s="28" t="str">
        <f>CONCATENATE(SUMIF($C$6:$C264,C264,$E$6:$E$370)," / ",SUMIF($C$6:$C$370,C264,$E$6:$E$370))</f>
        <v>43 / 57</v>
      </c>
      <c r="I264" s="28" t="str">
        <f>CONCATENATE(SUMIF($D$6:$D264,D264,$E$6:$E$370)," / ",SUMIF($D$6:$D$370,D264,$E$6:$E$370))</f>
        <v>125 / 158</v>
      </c>
      <c r="J264" s="28" t="str">
        <f>CONCATENATE(SUM($E$6:$E264)," / ",SUM($E$6:$E$370))</f>
        <v>1692 / 2214</v>
      </c>
      <c r="K264" s="24" t="s">
        <v>477</v>
      </c>
      <c r="L264" s="28" t="str">
        <f>CONCATENATE(SUMIF($C$6:$C264,C264,$G$6:$G$370)," / ",SUMIF($C$6:$C$370,C264,$G$6:$G$370))</f>
        <v>30 / 30</v>
      </c>
      <c r="M264" s="28" t="str">
        <f>CONCATENATE(SUMIF($D$6:$D264,D264,$G$6:$G$370)," / ",SUMIF($D$6:$D$370,D264,$G$6:$G$370))</f>
        <v>241 / 306</v>
      </c>
      <c r="N264" s="28" t="str">
        <f>CONCATENATE(SUM($G$6:$G264)," / ",SUM($G$6:$G$370))</f>
        <v>1682,5 / 2316,5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2214</v>
      </c>
      <c r="K265" s="24"/>
      <c r="L265" s="28" t="str">
        <f>CONCATENATE(SUMIF($C$6:$C265,C265,$G$6:$G$370)," / ",SUMIF($C$6:$C$370,C265,$G$6:$G$370))</f>
        <v>30 / 30</v>
      </c>
      <c r="M265" s="28" t="str">
        <f>CONCATENATE(SUMIF($D$6:$D265,D265,$G$6:$G$370)," / ",SUMIF($D$6:$D$370,D265,$G$6:$G$370))</f>
        <v>241 / 306</v>
      </c>
      <c r="N265" s="28" t="str">
        <f>CONCATENATE(SUM($G$6:$G265)," / ",SUM($G$6:$G$370))</f>
        <v>1682,5 / 2316,5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2214</v>
      </c>
      <c r="K266" s="24"/>
      <c r="L266" s="28" t="str">
        <f>CONCATENATE(SUMIF($C$6:$C266,C266,$G$6:$G$370)," / ",SUMIF($C$6:$C$370,C266,$G$6:$G$370))</f>
        <v>30 / 30</v>
      </c>
      <c r="M266" s="28" t="str">
        <f>CONCATENATE(SUMIF($D$6:$D266,D266,$G$6:$G$370)," / ",SUMIF($D$6:$D$370,D266,$G$6:$G$370))</f>
        <v>241 / 306</v>
      </c>
      <c r="N266" s="28" t="str">
        <f>CONCATENATE(SUM($G$6:$G266)," / ",SUM($G$6:$G$370))</f>
        <v>1682,5 / 2316,5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584</v>
      </c>
      <c r="G267" s="124"/>
      <c r="H267" s="28" t="str">
        <f>CONCATENATE(SUMIF($C$6:$C267,C267,$E$6:$E$370)," / ",SUMIF($C$6:$C$370,C267,$E$6:$E$370))</f>
        <v>57 / 57</v>
      </c>
      <c r="I267" s="28" t="str">
        <f>CONCATENATE(SUMIF($D$6:$D267,D267,$E$6:$E$370)," / ",SUMIF($D$6:$D$370,D267,$E$6:$E$370))</f>
        <v>139 / 158</v>
      </c>
      <c r="J267" s="28" t="str">
        <f>CONCATENATE(SUM($E$6:$E267)," / ",SUM($E$6:$E$370))</f>
        <v>1706 / 2214</v>
      </c>
      <c r="K267" s="24" t="s">
        <v>477</v>
      </c>
      <c r="L267" s="28" t="str">
        <f>CONCATENATE(SUMIF($C$6:$C267,C267,$G$6:$G$370)," / ",SUMIF($C$6:$C$370,C267,$G$6:$G$370))</f>
        <v>30 / 30</v>
      </c>
      <c r="M267" s="28" t="str">
        <f>CONCATENATE(SUMIF($D$6:$D267,D267,$G$6:$G$370)," / ",SUMIF($D$6:$D$370,D267,$G$6:$G$370))</f>
        <v>241 / 306</v>
      </c>
      <c r="N267" s="28" t="str">
        <f>CONCATENATE(SUM($G$6:$G267)," / ",SUM($G$6:$G$370))</f>
        <v>1682,5 / 2316,5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583</v>
      </c>
      <c r="G268" s="124"/>
      <c r="H268" s="28" t="str">
        <f>CONCATENATE(SUMIF($C$6:$C268,C268,$E$6:$E$370)," / ",SUMIF($C$6:$C$370,C268,$E$6:$E$370))</f>
        <v>9 / 19</v>
      </c>
      <c r="I268" s="28" t="str">
        <f>CONCATENATE(SUMIF($D$6:$D268,D268,$E$6:$E$370)," / ",SUMIF($D$6:$D$370,D268,$E$6:$E$370))</f>
        <v>148 / 158</v>
      </c>
      <c r="J268" s="28" t="str">
        <f>CONCATENATE(SUM($E$6:$E268)," / ",SUM($E$6:$E$370))</f>
        <v>1715 / 2214</v>
      </c>
      <c r="K268" s="24" t="s">
        <v>477</v>
      </c>
      <c r="L268" s="28" t="str">
        <f>CONCATENATE(SUMIF($C$6:$C268,C268,$G$6:$G$370)," / ",SUMIF($C$6:$C$370,C268,$G$6:$G$370))</f>
        <v>0 / 65</v>
      </c>
      <c r="M268" s="28" t="str">
        <f>CONCATENATE(SUMIF($D$6:$D268,D268,$G$6:$G$370)," / ",SUMIF($D$6:$D$370,D268,$G$6:$G$370))</f>
        <v>241 / 306</v>
      </c>
      <c r="N268" s="28" t="str">
        <f>CONCATENATE(SUM($G$6:$G268)," / ",SUM($G$6:$G$370))</f>
        <v>1682,5 / 2316,5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585</v>
      </c>
      <c r="G269" s="124">
        <v>35</v>
      </c>
      <c r="H269" s="28" t="str">
        <f>CONCATENATE(SUMIF($C$6:$C269,C269,$E$6:$E$370)," / ",SUMIF($C$6:$C$370,C269,$E$6:$E$370))</f>
        <v>14 / 19</v>
      </c>
      <c r="I269" s="28" t="str">
        <f>CONCATENATE(SUMIF($D$6:$D269,D269,$E$6:$E$370)," / ",SUMIF($D$6:$D$370,D269,$E$6:$E$370))</f>
        <v>153 / 158</v>
      </c>
      <c r="J269" s="28" t="str">
        <f>CONCATENATE(SUM($E$6:$E269)," / ",SUM($E$6:$E$370))</f>
        <v>1720 / 2214</v>
      </c>
      <c r="K269" s="24" t="s">
        <v>575</v>
      </c>
      <c r="L269" s="28" t="str">
        <f>CONCATENATE(SUMIF($C$6:$C269,C269,$G$6:$G$370)," / ",SUMIF($C$6:$C$370,C269,$G$6:$G$370))</f>
        <v>35 / 65</v>
      </c>
      <c r="M269" s="28" t="str">
        <f>CONCATENATE(SUMIF($D$6:$D269,D269,$G$6:$G$370)," / ",SUMIF($D$6:$D$370,D269,$G$6:$G$370))</f>
        <v>276 / 306</v>
      </c>
      <c r="N269" s="28" t="str">
        <f>CONCATENATE(SUM($G$6:$G269)," / ",SUM($G$6:$G$370))</f>
        <v>1717,5 / 2316,5</v>
      </c>
      <c r="O269" s="24" t="s">
        <v>488</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586</v>
      </c>
      <c r="G270" s="124">
        <v>30</v>
      </c>
      <c r="H270" s="28" t="str">
        <f>CONCATENATE(SUMIF($C$6:$C270,C270,$E$6:$E$370)," / ",SUMIF($C$6:$C$370,C270,$E$6:$E$370))</f>
        <v>19 / 19</v>
      </c>
      <c r="I270" s="28" t="str">
        <f>CONCATENATE(SUMIF($D$6:$D270,D270,$E$6:$E$370)," / ",SUMIF($D$6:$D$370,D270,$E$6:$E$370))</f>
        <v>158 / 158</v>
      </c>
      <c r="J270" s="28" t="str">
        <f>CONCATENATE(SUM($E$6:$E270)," / ",SUM($E$6:$E$370))</f>
        <v>1725 / 2214</v>
      </c>
      <c r="K270" s="24" t="s">
        <v>477</v>
      </c>
      <c r="L270" s="28" t="str">
        <f>CONCATENATE(SUMIF($C$6:$C270,C270,$G$6:$G$370)," / ",SUMIF($C$6:$C$370,C270,$G$6:$G$370))</f>
        <v>65 / 65</v>
      </c>
      <c r="M270" s="28" t="str">
        <f>CONCATENATE(SUMIF($D$6:$D270,D270,$G$6:$G$370)," / ",SUMIF($D$6:$D$370,D270,$G$6:$G$370))</f>
        <v>306 / 306</v>
      </c>
      <c r="N270" s="28" t="str">
        <f>CONCATENATE(SUM($G$6:$G270)," / ",SUM($G$6:$G$370))</f>
        <v>1747,5 / 2316,5</v>
      </c>
      <c r="O270" s="24" t="s">
        <v>488</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2214</v>
      </c>
      <c r="K271" s="24"/>
      <c r="L271" s="28" t="str">
        <f>CONCATENATE(SUMIF($C$6:$C271,C271,$G$6:$G$370)," / ",SUMIF($C$6:$C$370,C271,$G$6:$G$370))</f>
        <v>65 / 65</v>
      </c>
      <c r="M271" s="28" t="str">
        <f>CONCATENATE(SUMIF($D$6:$D271,D271,$G$6:$G$370)," / ",SUMIF($D$6:$D$370,D271,$G$6:$G$370))</f>
        <v>306 / 306</v>
      </c>
      <c r="N271" s="28" t="str">
        <f>CONCATENATE(SUM($G$6:$G271)," / ",SUM($G$6:$G$370))</f>
        <v>1747,5 / 2316,5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2214</v>
      </c>
      <c r="K272" s="24"/>
      <c r="L272" s="28" t="str">
        <f>CONCATENATE(SUMIF($C$6:$C272,C272,$G$6:$G$370)," / ",SUMIF($C$6:$C$370,C272,$G$6:$G$370))</f>
        <v>65 / 65</v>
      </c>
      <c r="M272" s="28" t="str">
        <f>CONCATENATE(SUMIF($D$6:$D272,D272,$G$6:$G$370)," / ",SUMIF($D$6:$D$370,D272,$G$6:$G$370))</f>
        <v>306 / 306</v>
      </c>
      <c r="N272" s="28" t="str">
        <f>CONCATENATE(SUM($G$6:$G272)," / ",SUM($G$6:$G$370))</f>
        <v>1747,5 / 2316,5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2214</v>
      </c>
      <c r="K273" s="24"/>
      <c r="L273" s="28" t="str">
        <f>CONCATENATE(SUMIF($C$6:$C273,C273,$G$6:$G$370)," / ",SUMIF($C$6:$C$370,C273,$G$6:$G$370))</f>
        <v>65 / 65</v>
      </c>
      <c r="M273" s="28" t="str">
        <f>CONCATENATE(SUMIF($D$6:$D273,D273,$G$6:$G$370)," / ",SUMIF($D$6:$D$370,D273,$G$6:$G$370))</f>
        <v>306 / 306</v>
      </c>
      <c r="N273" s="28" t="str">
        <f>CONCATENATE(SUM($G$6:$G273)," / ",SUM($G$6:$G$370))</f>
        <v>1747,5 / 2316,5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2214</v>
      </c>
      <c r="K274" s="214"/>
      <c r="L274" s="28" t="str">
        <f>CONCATENATE(SUMIF($C$6:$C274,C274,$G$6:$G$370)," / ",SUMIF($C$6:$C$370,C274,$G$6:$G$370))</f>
        <v>65 / 65</v>
      </c>
      <c r="M274" s="28" t="str">
        <f>CONCATENATE(SUMIF($D$6:$D274,D274,$G$6:$G$370)," / ",SUMIF($D$6:$D$370,D274,$G$6:$G$370))</f>
        <v>306 / 306</v>
      </c>
      <c r="N274" s="28" t="str">
        <f>CONCATENATE(SUM($G$6:$G274)," / ",SUM($G$6:$G$370))</f>
        <v>1747,5 / 2316,5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580</v>
      </c>
      <c r="G275" s="193">
        <v>15</v>
      </c>
      <c r="H275" s="194" t="str">
        <f>CONCATENATE(SUMIF($C$6:$C275,C275,$E$6:$E$370)," / ",SUMIF($C$6:$C$370,C275,$E$6:$E$370))</f>
        <v>23 / 49</v>
      </c>
      <c r="I275" s="194" t="str">
        <f>CONCATENATE(SUMIF($D$6:$D275,D275,$E$6:$E$370)," / ",SUMIF($D$6:$D$370,D275,$E$6:$E$370))</f>
        <v>23 / 260</v>
      </c>
      <c r="J275" s="194" t="str">
        <f>CONCATENATE(SUM($E$6:$E275)," / ",SUM($E$6:$E$370))</f>
        <v>1748 / 2214</v>
      </c>
      <c r="K275" s="196"/>
      <c r="L275" s="28" t="str">
        <f>CONCATENATE(SUMIF($C$6:$C275,C275,$G$6:$G$370)," / ",SUMIF($C$6:$C$370,C275,$G$6:$G$370))</f>
        <v>15 / 183</v>
      </c>
      <c r="M275" s="28" t="str">
        <f>CONCATENATE(SUMIF($D$6:$D275,D275,$G$6:$G$370)," / ",SUMIF($D$6:$D$370,D275,$G$6:$G$370))</f>
        <v>15 / 294</v>
      </c>
      <c r="N275" s="28" t="str">
        <f>CONCATENATE(SUM($G$6:$G275)," / ",SUM($G$6:$G$370))</f>
        <v>1762,5 / 2316,5</v>
      </c>
      <c r="O275" s="24" t="s">
        <v>488</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588</v>
      </c>
      <c r="G276" s="225">
        <v>25</v>
      </c>
      <c r="H276" s="212" t="str">
        <f>CONCATENATE(SUMIF($C$6:$C276,C276,$E$6:$E$370)," / ",SUMIF($C$6:$C$370,C276,$E$6:$E$370))</f>
        <v>23 / 49</v>
      </c>
      <c r="I276" s="212" t="str">
        <f>CONCATENATE(SUMIF($D$6:$D276,D276,$E$6:$E$370)," / ",SUMIF($D$6:$D$370,D276,$E$6:$E$370))</f>
        <v>23 / 260</v>
      </c>
      <c r="J276" s="212" t="str">
        <f>CONCATENATE(SUM($E$6:$E276)," / ",SUM($E$6:$E$370))</f>
        <v>1748 / 2214</v>
      </c>
      <c r="K276" s="214"/>
      <c r="L276" s="28" t="str">
        <f>CONCATENATE(SUMIF($C$6:$C276,C276,$G$6:$G$370)," / ",SUMIF($C$6:$C$370,C276,$G$6:$G$370))</f>
        <v>40 / 183</v>
      </c>
      <c r="M276" s="28" t="str">
        <f>CONCATENATE(SUMIF($D$6:$D276,D276,$G$6:$G$370)," / ",SUMIF($D$6:$D$370,D276,$G$6:$G$370))</f>
        <v>40 / 294</v>
      </c>
      <c r="N276" s="28" t="str">
        <f>CONCATENATE(SUM($G$6:$G276)," / ",SUM($G$6:$G$370))</f>
        <v>1787,5 / 2316,5</v>
      </c>
      <c r="O276" s="24" t="s">
        <v>488</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589</v>
      </c>
      <c r="G277" s="225">
        <v>25</v>
      </c>
      <c r="H277" s="212" t="str">
        <f>CONCATENATE(SUMIF($C$6:$C277,C277,$E$6:$E$370)," / ",SUMIF($C$6:$C$370,C277,$E$6:$E$370))</f>
        <v>23 / 49</v>
      </c>
      <c r="I277" s="212" t="str">
        <f>CONCATENATE(SUMIF($D$6:$D277,D277,$E$6:$E$370)," / ",SUMIF($D$6:$D$370,D277,$E$6:$E$370))</f>
        <v>23 / 260</v>
      </c>
      <c r="J277" s="212" t="str">
        <f>CONCATENATE(SUM($E$6:$E277)," / ",SUM($E$6:$E$370))</f>
        <v>1748 / 2214</v>
      </c>
      <c r="K277" s="214"/>
      <c r="L277" s="28" t="str">
        <f>CONCATENATE(SUMIF($C$6:$C277,C277,$G$6:$G$370)," / ",SUMIF($C$6:$C$370,C277,$G$6:$G$370))</f>
        <v>65 / 183</v>
      </c>
      <c r="M277" s="28" t="str">
        <f>CONCATENATE(SUMIF($D$6:$D277,D277,$G$6:$G$370)," / ",SUMIF($D$6:$D$370,D277,$G$6:$G$370))</f>
        <v>65 / 294</v>
      </c>
      <c r="N277" s="28" t="str">
        <f>CONCATENATE(SUM($G$6:$G277)," / ",SUM($G$6:$G$370))</f>
        <v>1812,5 / 2316,5</v>
      </c>
      <c r="O277" s="24" t="s">
        <v>488</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590</v>
      </c>
      <c r="G278" s="225">
        <v>36</v>
      </c>
      <c r="H278" s="212" t="str">
        <f>CONCATENATE(SUMIF($C$6:$C278,C278,$E$6:$E$370)," / ",SUMIF($C$6:$C$370,C278,$E$6:$E$370))</f>
        <v>32 / 49</v>
      </c>
      <c r="I278" s="212" t="str">
        <f>CONCATENATE(SUMIF($D$6:$D278,D278,$E$6:$E$370)," / ",SUMIF($D$6:$D$370,D278,$E$6:$E$370))</f>
        <v>32 / 260</v>
      </c>
      <c r="J278" s="212" t="str">
        <f>CONCATENATE(SUM($E$6:$E278)," / ",SUM($E$6:$E$370))</f>
        <v>1757 / 2214</v>
      </c>
      <c r="K278" s="214" t="s">
        <v>477</v>
      </c>
      <c r="L278" s="28" t="str">
        <f>CONCATENATE(SUMIF($C$6:$C278,C278,$G$6:$G$370)," / ",SUMIF($C$6:$C$370,C278,$G$6:$G$370))</f>
        <v>101 / 183</v>
      </c>
      <c r="M278" s="28" t="str">
        <f>CONCATENATE(SUMIF($D$6:$D278,D278,$G$6:$G$370)," / ",SUMIF($D$6:$D$370,D278,$G$6:$G$370))</f>
        <v>101 / 294</v>
      </c>
      <c r="N278" s="28" t="str">
        <f>CONCATENATE(SUM($G$6:$G278)," / ",SUM($G$6:$G$370))</f>
        <v>1848,5 / 2316,5</v>
      </c>
      <c r="O278" s="24" t="s">
        <v>488</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591</v>
      </c>
      <c r="G279" s="225">
        <v>45</v>
      </c>
      <c r="H279" s="212" t="str">
        <f>CONCATENATE(SUMIF($C$6:$C279,C279,$E$6:$E$370)," / ",SUMIF($C$6:$C$370,C279,$E$6:$E$370))</f>
        <v>32 / 49</v>
      </c>
      <c r="I279" s="212" t="str">
        <f>CONCATENATE(SUMIF($D$6:$D279,D279,$E$6:$E$370)," / ",SUMIF($D$6:$D$370,D279,$E$6:$E$370))</f>
        <v>32 / 260</v>
      </c>
      <c r="J279" s="212" t="str">
        <f>CONCATENATE(SUM($E$6:$E279)," / ",SUM($E$6:$E$370))</f>
        <v>1757 / 2214</v>
      </c>
      <c r="K279" s="214"/>
      <c r="L279" s="28" t="str">
        <f>CONCATENATE(SUMIF($C$6:$C279,C279,$G$6:$G$370)," / ",SUMIF($C$6:$C$370,C279,$G$6:$G$370))</f>
        <v>146 / 183</v>
      </c>
      <c r="M279" s="28" t="str">
        <f>CONCATENATE(SUMIF($D$6:$D279,D279,$G$6:$G$370)," / ",SUMIF($D$6:$D$370,D279,$G$6:$G$370))</f>
        <v>146 / 294</v>
      </c>
      <c r="N279" s="28" t="str">
        <f>CONCATENATE(SUM($G$6:$G279)," / ",SUM($G$6:$G$370))</f>
        <v>1893,5 / 2316,5</v>
      </c>
      <c r="O279" s="24" t="s">
        <v>488</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2214</v>
      </c>
      <c r="K280" s="214"/>
      <c r="L280" s="28" t="str">
        <f>CONCATENATE(SUMIF($C$6:$C280,C280,$G$6:$G$370)," / ",SUMIF($C$6:$C$370,C280,$G$6:$G$370))</f>
        <v>158 / 183</v>
      </c>
      <c r="M280" s="28" t="str">
        <f>CONCATENATE(SUMIF($D$6:$D280,D280,$G$6:$G$370)," / ",SUMIF($D$6:$D$370,D280,$G$6:$G$370))</f>
        <v>158 / 294</v>
      </c>
      <c r="N280" s="28" t="str">
        <f>CONCATENATE(SUM($G$6:$G280)," / ",SUM($G$6:$G$370))</f>
        <v>1905,5 / 2316,5</v>
      </c>
      <c r="O280" s="24"/>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592</v>
      </c>
      <c r="G281" s="225">
        <v>25</v>
      </c>
      <c r="H281" s="212" t="str">
        <f>CONCATENATE(SUMIF($C$6:$C281,C281,$E$6:$E$370)," / ",SUMIF($C$6:$C$370,C281,$E$6:$E$370))</f>
        <v>49 / 49</v>
      </c>
      <c r="I281" s="212" t="str">
        <f>CONCATENATE(SUMIF($D$6:$D281,D281,$E$6:$E$370)," / ",SUMIF($D$6:$D$370,D281,$E$6:$E$370))</f>
        <v>49 / 260</v>
      </c>
      <c r="J281" s="212" t="str">
        <f>CONCATENATE(SUM($E$6:$E281)," / ",SUM($E$6:$E$370))</f>
        <v>1774 / 2214</v>
      </c>
      <c r="K281" s="214" t="s">
        <v>380</v>
      </c>
      <c r="L281" s="28" t="str">
        <f>CONCATENATE(SUMIF($C$6:$C281,C281,$G$6:$G$370)," / ",SUMIF($C$6:$C$370,C281,$G$6:$G$370))</f>
        <v>183 / 183</v>
      </c>
      <c r="M281" s="28" t="str">
        <f>CONCATENATE(SUMIF($D$6:$D281,D281,$G$6:$G$370)," / ",SUMIF($D$6:$D$370,D281,$G$6:$G$370))</f>
        <v>183 / 294</v>
      </c>
      <c r="N281" s="28" t="str">
        <f>CONCATENATE(SUM($G$6:$G281)," / ",SUM($G$6:$G$370))</f>
        <v>1930,5 / 2316,5</v>
      </c>
      <c r="O281" s="25" t="s">
        <v>488</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593</v>
      </c>
      <c r="G282" s="193">
        <v>30</v>
      </c>
      <c r="H282" s="194" t="str">
        <f>CONCATENATE(SUMIF($C$6:$C282,C282,$E$6:$E$370)," / ",SUMIF($C$6:$C$370,C282,$E$6:$E$370))</f>
        <v>14 / 51</v>
      </c>
      <c r="I282" s="194" t="str">
        <f>CONCATENATE(SUMIF($D$6:$D282,D282,$E$6:$E$370)," / ",SUMIF($D$6:$D$370,D282,$E$6:$E$370))</f>
        <v>63 / 260</v>
      </c>
      <c r="J282" s="194" t="str">
        <f>CONCATENATE(SUM($E$6:$E282)," / ",SUM($E$6:$E$370))</f>
        <v>1788 / 2214</v>
      </c>
      <c r="K282" s="196" t="s">
        <v>380</v>
      </c>
      <c r="L282" s="28" t="str">
        <f>CONCATENATE(SUMIF($C$6:$C282,C282,$G$6:$G$370)," / ",SUMIF($C$6:$C$370,C282,$G$6:$G$370))</f>
        <v>30 / 85</v>
      </c>
      <c r="M282" s="28" t="str">
        <f>CONCATENATE(SUMIF($D$6:$D282,D282,$G$6:$G$370)," / ",SUMIF($D$6:$D$370,D282,$G$6:$G$370))</f>
        <v>213 / 294</v>
      </c>
      <c r="N282" s="28" t="str">
        <f>CONCATENATE(SUM($G$6:$G282)," / ",SUM($G$6:$G$370))</f>
        <v>1960,5 / 2316,5</v>
      </c>
      <c r="O282" s="24" t="s">
        <v>488</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2214</v>
      </c>
      <c r="K283" s="214"/>
      <c r="L283" s="28" t="str">
        <f>CONCATENATE(SUMIF($C$6:$C283,C283,$G$6:$G$370)," / ",SUMIF($C$6:$C$370,C283,$G$6:$G$370))</f>
        <v>30 / 85</v>
      </c>
      <c r="M283" s="28" t="str">
        <f>CONCATENATE(SUMIF($D$6:$D283,D283,$G$6:$G$370)," / ",SUMIF($D$6:$D$370,D283,$G$6:$G$370))</f>
        <v>213 / 294</v>
      </c>
      <c r="N283" s="28" t="str">
        <f>CONCATENATE(SUM($G$6:$G283)," / ",SUM($G$6:$G$370))</f>
        <v>1960,5 / 2316,5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2214</v>
      </c>
      <c r="K284" s="214"/>
      <c r="L284" s="28" t="str">
        <f>CONCATENATE(SUMIF($C$6:$C284,C284,$G$6:$G$370)," / ",SUMIF($C$6:$C$370,C284,$G$6:$G$370))</f>
        <v>30 / 85</v>
      </c>
      <c r="M284" s="28" t="str">
        <f>CONCATENATE(SUMIF($D$6:$D284,D284,$G$6:$G$370)," / ",SUMIF($D$6:$D$370,D284,$G$6:$G$370))</f>
        <v>213 / 294</v>
      </c>
      <c r="N284" s="28" t="str">
        <f>CONCATENATE(SUM($G$6:$G284)," / ",SUM($G$6:$G$370))</f>
        <v>1960,5 / 2316,5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595</v>
      </c>
      <c r="G285" s="225"/>
      <c r="H285" s="212" t="str">
        <f>CONCATENATE(SUMIF($C$6:$C285,C285,$E$6:$E$370)," / ",SUMIF($C$6:$C$370,C285,$E$6:$E$370))</f>
        <v>25 / 51</v>
      </c>
      <c r="I285" s="212" t="str">
        <f>CONCATENATE(SUMIF($D$6:$D285,D285,$E$6:$E$370)," / ",SUMIF($D$6:$D$370,D285,$E$6:$E$370))</f>
        <v>74 / 260</v>
      </c>
      <c r="J285" s="212" t="str">
        <f>CONCATENATE(SUM($E$6:$E285)," / ",SUM($E$6:$E$370))</f>
        <v>1799 / 2214</v>
      </c>
      <c r="K285" s="214" t="s">
        <v>477</v>
      </c>
      <c r="L285" s="28" t="str">
        <f>CONCATENATE(SUMIF($C$6:$C285,C285,$G$6:$G$370)," / ",SUMIF($C$6:$C$370,C285,$G$6:$G$370))</f>
        <v>30 / 85</v>
      </c>
      <c r="M285" s="28" t="str">
        <f>CONCATENATE(SUMIF($D$6:$D285,D285,$G$6:$G$370)," / ",SUMIF($D$6:$D$370,D285,$G$6:$G$370))</f>
        <v>213 / 294</v>
      </c>
      <c r="N285" s="28" t="str">
        <f>CONCATENATE(SUM($G$6:$G285)," / ",SUM($G$6:$G$370))</f>
        <v>1960,5 / 2316,5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599</v>
      </c>
      <c r="G286" s="225">
        <v>35</v>
      </c>
      <c r="H286" s="212" t="str">
        <f>CONCATENATE(SUMIF($C$6:$C286,C286,$E$6:$E$370)," / ",SUMIF($C$6:$C$370,C286,$E$6:$E$370))</f>
        <v>30 / 51</v>
      </c>
      <c r="I286" s="212" t="str">
        <f>CONCATENATE(SUMIF($D$6:$D286,D286,$E$6:$E$370)," / ",SUMIF($D$6:$D$370,D286,$E$6:$E$370))</f>
        <v>79 / 260</v>
      </c>
      <c r="J286" s="212" t="str">
        <f>CONCATENATE(SUM($E$6:$E286)," / ",SUM($E$6:$E$370))</f>
        <v>1804 / 2214</v>
      </c>
      <c r="K286" s="214" t="s">
        <v>477</v>
      </c>
      <c r="L286" s="28" t="str">
        <f>CONCATENATE(SUMIF($C$6:$C286,C286,$G$6:$G$370)," / ",SUMIF($C$6:$C$370,C286,$G$6:$G$370))</f>
        <v>65 / 85</v>
      </c>
      <c r="M286" s="28" t="str">
        <f>CONCATENATE(SUMIF($D$6:$D286,D286,$G$6:$G$370)," / ",SUMIF($D$6:$D$370,D286,$G$6:$G$370))</f>
        <v>248 / 294</v>
      </c>
      <c r="N286" s="28" t="str">
        <f>CONCATENATE(SUM($G$6:$G286)," / ",SUM($G$6:$G$370))</f>
        <v>1995,5 / 2316,5</v>
      </c>
      <c r="O286" s="24" t="s">
        <v>488</v>
      </c>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2214</v>
      </c>
      <c r="K287" s="214"/>
      <c r="L287" s="28" t="str">
        <f>CONCATENATE(SUMIF($C$6:$C287,C287,$G$6:$G$370)," / ",SUMIF($C$6:$C$370,C287,$G$6:$G$370))</f>
        <v>65 / 85</v>
      </c>
      <c r="M287" s="28" t="str">
        <f>CONCATENATE(SUMIF($D$6:$D287,D287,$G$6:$G$370)," / ",SUMIF($D$6:$D$370,D287,$G$6:$G$370))</f>
        <v>248 / 294</v>
      </c>
      <c r="N287" s="28" t="str">
        <f>CONCATENATE(SUM($G$6:$G287)," / ",SUM($G$6:$G$370))</f>
        <v>1995,5 / 2316,5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587</v>
      </c>
      <c r="G288" s="193">
        <v>20</v>
      </c>
      <c r="H288" s="194" t="str">
        <f>CONCATENATE(SUMIF($C$6:$C288,C288,$E$6:$E$370)," / ",SUMIF($C$6:$C$370,C288,$E$6:$E$370))</f>
        <v>51 / 51</v>
      </c>
      <c r="I288" s="194" t="str">
        <f>CONCATENATE(SUMIF($D$6:$D288,D288,$E$6:$E$370)," / ",SUMIF($D$6:$D$370,D288,$E$6:$E$370))</f>
        <v>100 / 260</v>
      </c>
      <c r="J288" s="194" t="str">
        <f>CONCATENATE(SUM($E$6:$E288)," / ",SUM($E$6:$E$370))</f>
        <v>1825 / 2214</v>
      </c>
      <c r="K288" s="196" t="s">
        <v>575</v>
      </c>
      <c r="L288" s="28" t="str">
        <f>CONCATENATE(SUMIF($C$6:$C288,C288,$G$6:$G$370)," / ",SUMIF($C$6:$C$370,C288,$G$6:$G$370))</f>
        <v>85 / 85</v>
      </c>
      <c r="M288" s="28" t="str">
        <f>CONCATENATE(SUMIF($D$6:$D288,D288,$G$6:$G$370)," / ",SUMIF($D$6:$D$370,D288,$G$6:$G$370))</f>
        <v>268 / 294</v>
      </c>
      <c r="N288" s="28" t="str">
        <f>CONCATENATE(SUM($G$6:$G288)," / ",SUM($G$6:$G$370))</f>
        <v>2015,5 / 2316,5</v>
      </c>
      <c r="O288" s="24" t="s">
        <v>488</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2214</v>
      </c>
      <c r="K289" s="214"/>
      <c r="L289" s="28" t="str">
        <f>CONCATENATE(SUMIF($C$6:$C289,C289,$G$6:$G$370)," / ",SUMIF($C$6:$C$370,C289,$G$6:$G$370))</f>
        <v>0 / 0</v>
      </c>
      <c r="M289" s="28" t="str">
        <f>CONCATENATE(SUMIF($D$6:$D289,D289,$G$6:$G$370)," / ",SUMIF($D$6:$D$370,D289,$G$6:$G$370))</f>
        <v>268 / 294</v>
      </c>
      <c r="N289" s="28" t="str">
        <f>CONCATENATE(SUM($G$6:$G289)," / ",SUM($G$6:$G$370))</f>
        <v>2015,5 / 2316,5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600</v>
      </c>
      <c r="G290" s="225"/>
      <c r="H290" s="212" t="str">
        <f>CONCATENATE(SUMIF($C$6:$C290,C290,$E$6:$E$370)," / ",SUMIF($C$6:$C$370,C290,$E$6:$E$370))</f>
        <v>14 / 53</v>
      </c>
      <c r="I290" s="212" t="str">
        <f>CONCATENATE(SUMIF($D$6:$D290,D290,$E$6:$E$370)," / ",SUMIF($D$6:$D$370,D290,$E$6:$E$370))</f>
        <v>114 / 260</v>
      </c>
      <c r="J290" s="212" t="str">
        <f>CONCATENATE(SUM($E$6:$E290)," / ",SUM($E$6:$E$370))</f>
        <v>1839 / 2214</v>
      </c>
      <c r="K290" s="214" t="s">
        <v>575</v>
      </c>
      <c r="L290" s="28" t="str">
        <f>CONCATENATE(SUMIF($C$6:$C290,C290,$G$6:$G$370)," / ",SUMIF($C$6:$C$370,C290,$G$6:$G$370))</f>
        <v>0 / 0</v>
      </c>
      <c r="M290" s="28" t="str">
        <f>CONCATENATE(SUMIF($D$6:$D290,D290,$G$6:$G$370)," / ",SUMIF($D$6:$D$370,D290,$G$6:$G$370))</f>
        <v>268 / 294</v>
      </c>
      <c r="N290" s="28" t="str">
        <f>CONCATENATE(SUM($G$6:$G290)," / ",SUM($G$6:$G$370))</f>
        <v>2015,5 / 2316,5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601</v>
      </c>
      <c r="G291" s="225"/>
      <c r="H291" s="212" t="str">
        <f>CONCATENATE(SUMIF($C$6:$C291,C291,$E$6:$E$370)," / ",SUMIF($C$6:$C$370,C291,$E$6:$E$370))</f>
        <v>22 / 53</v>
      </c>
      <c r="I291" s="212" t="str">
        <f>CONCATENATE(SUMIF($D$6:$D291,D291,$E$6:$E$370)," / ",SUMIF($D$6:$D$370,D291,$E$6:$E$370))</f>
        <v>122 / 260</v>
      </c>
      <c r="J291" s="212" t="str">
        <f>CONCATENATE(SUM($E$6:$E291)," / ",SUM($E$6:$E$370))</f>
        <v>1847 / 2214</v>
      </c>
      <c r="K291" s="214" t="s">
        <v>477</v>
      </c>
      <c r="L291" s="28" t="str">
        <f>CONCATENATE(SUMIF($C$6:$C291,C291,$G$6:$G$370)," / ",SUMIF($C$6:$C$370,C291,$G$6:$G$370))</f>
        <v>0 / 0</v>
      </c>
      <c r="M291" s="28" t="str">
        <f>CONCATENATE(SUMIF($D$6:$D291,D291,$G$6:$G$370)," / ",SUMIF($D$6:$D$370,D291,$G$6:$G$370))</f>
        <v>268 / 294</v>
      </c>
      <c r="N291" s="28" t="str">
        <f>CONCATENATE(SUM($G$6:$G291)," / ",SUM($G$6:$G$370))</f>
        <v>2015,5 / 2316,5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2214</v>
      </c>
      <c r="K292" s="214"/>
      <c r="L292" s="28" t="str">
        <f>CONCATENATE(SUMIF($C$6:$C292,C292,$G$6:$G$370)," / ",SUMIF($C$6:$C$370,C292,$G$6:$G$370))</f>
        <v>0 / 0</v>
      </c>
      <c r="M292" s="28" t="str">
        <f>CONCATENATE(SUMIF($D$6:$D292,D292,$G$6:$G$370)," / ",SUMIF($D$6:$D$370,D292,$G$6:$G$370))</f>
        <v>268 / 294</v>
      </c>
      <c r="N292" s="28" t="str">
        <f>CONCATENATE(SUM($G$6:$G292)," / ",SUM($G$6:$G$370))</f>
        <v>2015,5 / 2316,5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601</v>
      </c>
      <c r="G293" s="225"/>
      <c r="H293" s="212" t="str">
        <f>CONCATENATE(SUMIF($C$6:$C293,C293,$E$6:$E$370)," / ",SUMIF($C$6:$C$370,C293,$E$6:$E$370))</f>
        <v>33 / 53</v>
      </c>
      <c r="I293" s="212" t="str">
        <f>CONCATENATE(SUMIF($D$6:$D293,D293,$E$6:$E$370)," / ",SUMIF($D$6:$D$370,D293,$E$6:$E$370))</f>
        <v>133 / 260</v>
      </c>
      <c r="J293" s="212" t="str">
        <f>CONCATENATE(SUM($E$6:$E293)," / ",SUM($E$6:$E$370))</f>
        <v>1858 / 2214</v>
      </c>
      <c r="K293" s="214" t="s">
        <v>477</v>
      </c>
      <c r="L293" s="28" t="str">
        <f>CONCATENATE(SUMIF($C$6:$C293,C293,$G$6:$G$370)," / ",SUMIF($C$6:$C$370,C293,$G$6:$G$370))</f>
        <v>0 / 0</v>
      </c>
      <c r="M293" s="28" t="str">
        <f>CONCATENATE(SUMIF($D$6:$D293,D293,$G$6:$G$370)," / ",SUMIF($D$6:$D$370,D293,$G$6:$G$370))</f>
        <v>268 / 294</v>
      </c>
      <c r="N293" s="28" t="str">
        <f>CONCATENATE(SUM($G$6:$G293)," / ",SUM($G$6:$G$370))</f>
        <v>2015,5 / 2316,5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2214</v>
      </c>
      <c r="K294" s="214"/>
      <c r="L294" s="28" t="str">
        <f>CONCATENATE(SUMIF($C$6:$C294,C294,$G$6:$G$370)," / ",SUMIF($C$6:$C$370,C294,$G$6:$G$370))</f>
        <v>0 / 0</v>
      </c>
      <c r="M294" s="28" t="str">
        <f>CONCATENATE(SUMIF($D$6:$D294,D294,$G$6:$G$370)," / ",SUMIF($D$6:$D$370,D294,$G$6:$G$370))</f>
        <v>268 / 294</v>
      </c>
      <c r="N294" s="28" t="str">
        <f>CONCATENATE(SUM($G$6:$G294)," / ",SUM($G$6:$G$370))</f>
        <v>2015,5 / 2316,5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602</v>
      </c>
      <c r="G295" s="225"/>
      <c r="H295" s="212" t="str">
        <f>CONCATENATE(SUMIF($C$6:$C295,C295,$E$6:$E$370)," / ",SUMIF($C$6:$C$370,C295,$E$6:$E$370))</f>
        <v>53 / 53</v>
      </c>
      <c r="I295" s="212" t="str">
        <f>CONCATENATE(SUMIF($D$6:$D295,D295,$E$6:$E$370)," / ",SUMIF($D$6:$D$370,D295,$E$6:$E$370))</f>
        <v>153 / 260</v>
      </c>
      <c r="J295" s="212" t="str">
        <f>CONCATENATE(SUM($E$6:$E295)," / ",SUM($E$6:$E$370))</f>
        <v>1878 / 2214</v>
      </c>
      <c r="K295" s="214" t="s">
        <v>477</v>
      </c>
      <c r="L295" s="28" t="str">
        <f>CONCATENATE(SUMIF($C$6:$C295,C295,$G$6:$G$370)," / ",SUMIF($C$6:$C$370,C295,$G$6:$G$370))</f>
        <v>0 / 0</v>
      </c>
      <c r="M295" s="28" t="str">
        <f>CONCATENATE(SUMIF($D$6:$D295,D295,$G$6:$G$370)," / ",SUMIF($D$6:$D$370,D295,$G$6:$G$370))</f>
        <v>268 / 294</v>
      </c>
      <c r="N295" s="28" t="str">
        <f>CONCATENATE(SUM($G$6:$G295)," / ",SUM($G$6:$G$370))</f>
        <v>2015,5 / 2316,5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609</v>
      </c>
      <c r="G296" s="225"/>
      <c r="H296" s="212" t="str">
        <f>CONCATENATE(SUMIF($C$6:$C296,C296,$E$6:$E$370)," / ",SUMIF($C$6:$C$370,C296,$E$6:$E$370))</f>
        <v>16 / 96</v>
      </c>
      <c r="I296" s="212" t="str">
        <f>CONCATENATE(SUMIF($D$6:$D296,D296,$E$6:$E$370)," / ",SUMIF($D$6:$D$370,D296,$E$6:$E$370))</f>
        <v>169 / 260</v>
      </c>
      <c r="J296" s="212" t="str">
        <f>CONCATENATE(SUM($E$6:$E296)," / ",SUM($E$6:$E$370))</f>
        <v>1894 / 2214</v>
      </c>
      <c r="K296" s="214" t="s">
        <v>477</v>
      </c>
      <c r="L296" s="28" t="str">
        <f>CONCATENATE(SUMIF($C$6:$C296,C296,$G$6:$G$370)," / ",SUMIF($C$6:$C$370,C296,$G$6:$G$370))</f>
        <v>0 / 26</v>
      </c>
      <c r="M296" s="28" t="str">
        <f>CONCATENATE(SUMIF($D$6:$D296,D296,$G$6:$G$370)," / ",SUMIF($D$6:$D$370,D296,$G$6:$G$370))</f>
        <v>268 / 294</v>
      </c>
      <c r="N296" s="28" t="str">
        <f>CONCATENATE(SUM($G$6:$G296)," / ",SUM($G$6:$G$370))</f>
        <v>2015,5 / 2316,5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611</v>
      </c>
      <c r="G297" s="225">
        <v>26</v>
      </c>
      <c r="H297" s="212" t="str">
        <f>CONCATENATE(SUMIF($C$6:$C297,C297,$E$6:$E$370)," / ",SUMIF($C$6:$C$370,C297,$E$6:$E$370))</f>
        <v>24 / 96</v>
      </c>
      <c r="I297" s="212" t="str">
        <f>CONCATENATE(SUMIF($D$6:$D297,D297,$E$6:$E$370)," / ",SUMIF($D$6:$D$370,D297,$E$6:$E$370))</f>
        <v>177 / 260</v>
      </c>
      <c r="J297" s="212" t="str">
        <f>CONCATENATE(SUM($E$6:$E297)," / ",SUM($E$6:$E$370))</f>
        <v>1902 / 2214</v>
      </c>
      <c r="K297" s="214" t="s">
        <v>575</v>
      </c>
      <c r="L297" s="28" t="str">
        <f>CONCATENATE(SUMIF($C$6:$C297,C297,$G$6:$G$370)," / ",SUMIF($C$6:$C$370,C297,$G$6:$G$370))</f>
        <v>26 / 26</v>
      </c>
      <c r="M297" s="28" t="str">
        <f>CONCATENATE(SUMIF($D$6:$D297,D297,$G$6:$G$370)," / ",SUMIF($D$6:$D$370,D297,$G$6:$G$370))</f>
        <v>294 / 294</v>
      </c>
      <c r="N297" s="28" t="str">
        <f>CONCATENATE(SUM($G$6:$G297)," / ",SUM($G$6:$G$370))</f>
        <v>2041,5 / 2316,5</v>
      </c>
      <c r="O297" s="24" t="s">
        <v>488</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612</v>
      </c>
      <c r="G298" s="225"/>
      <c r="H298" s="212" t="str">
        <f>CONCATENATE(SUMIF($C$6:$C298,C298,$E$6:$E$370)," / ",SUMIF($C$6:$C$370,C298,$E$6:$E$370))</f>
        <v>35 / 96</v>
      </c>
      <c r="I298" s="212" t="str">
        <f>CONCATENATE(SUMIF($D$6:$D298,D298,$E$6:$E$370)," / ",SUMIF($D$6:$D$370,D298,$E$6:$E$370))</f>
        <v>188 / 260</v>
      </c>
      <c r="J298" s="212" t="str">
        <f>CONCATENATE(SUM($E$6:$E298)," / ",SUM($E$6:$E$370))</f>
        <v>1913 / 2214</v>
      </c>
      <c r="K298" s="214" t="s">
        <v>575</v>
      </c>
      <c r="L298" s="28" t="str">
        <f>CONCATENATE(SUMIF($C$6:$C298,C298,$G$6:$G$370)," / ",SUMIF($C$6:$C$370,C298,$G$6:$G$370))</f>
        <v>26 / 26</v>
      </c>
      <c r="M298" s="28" t="str">
        <f>CONCATENATE(SUMIF($D$6:$D298,D298,$G$6:$G$370)," / ",SUMIF($D$6:$D$370,D298,$G$6:$G$370))</f>
        <v>294 / 294</v>
      </c>
      <c r="N298" s="28" t="str">
        <f>CONCATENATE(SUM($G$6:$G298)," / ",SUM($G$6:$G$370))</f>
        <v>2041,5 / 2316,5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613</v>
      </c>
      <c r="G299" s="225"/>
      <c r="H299" s="212" t="str">
        <f>CONCATENATE(SUMIF($C$6:$C299,C299,$E$6:$E$370)," / ",SUMIF($C$6:$C$370,C299,$E$6:$E$370))</f>
        <v>47 / 96</v>
      </c>
      <c r="I299" s="212" t="str">
        <f>CONCATENATE(SUMIF($D$6:$D299,D299,$E$6:$E$370)," / ",SUMIF($D$6:$D$370,D299,$E$6:$E$370))</f>
        <v>200 / 260</v>
      </c>
      <c r="J299" s="212" t="str">
        <f>CONCATENATE(SUM($E$6:$E299)," / ",SUM($E$6:$E$370))</f>
        <v>1925 / 2214</v>
      </c>
      <c r="K299" s="214" t="s">
        <v>575</v>
      </c>
      <c r="L299" s="28" t="str">
        <f>CONCATENATE(SUMIF($C$6:$C299,C299,$G$6:$G$370)," / ",SUMIF($C$6:$C$370,C299,$G$6:$G$370))</f>
        <v>26 / 26</v>
      </c>
      <c r="M299" s="28" t="str">
        <f>CONCATENATE(SUMIF($D$6:$D299,D299,$G$6:$G$370)," / ",SUMIF($D$6:$D$370,D299,$G$6:$G$370))</f>
        <v>294 / 294</v>
      </c>
      <c r="N299" s="28" t="str">
        <f>CONCATENATE(SUM($G$6:$G299)," / ",SUM($G$6:$G$370))</f>
        <v>2041,5 / 2316,5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613</v>
      </c>
      <c r="G300" s="225"/>
      <c r="H300" s="212" t="str">
        <f>CONCATENATE(SUMIF($C$6:$C300,C300,$E$6:$E$370)," / ",SUMIF($C$6:$C$370,C300,$E$6:$E$370))</f>
        <v>59 / 96</v>
      </c>
      <c r="I300" s="212" t="str">
        <f>CONCATENATE(SUMIF($D$6:$D300,D300,$E$6:$E$370)," / ",SUMIF($D$6:$D$370,D300,$E$6:$E$370))</f>
        <v>212 / 260</v>
      </c>
      <c r="J300" s="212" t="str">
        <f>CONCATENATE(SUM($E$6:$E300)," / ",SUM($E$6:$E$370))</f>
        <v>1937 / 2214</v>
      </c>
      <c r="K300" s="214" t="s">
        <v>575</v>
      </c>
      <c r="L300" s="28" t="str">
        <f>CONCATENATE(SUMIF($C$6:$C300,C300,$G$6:$G$370)," / ",SUMIF($C$6:$C$370,C300,$G$6:$G$370))</f>
        <v>26 / 26</v>
      </c>
      <c r="M300" s="28" t="str">
        <f>CONCATENATE(SUMIF($D$6:$D300,D300,$G$6:$G$370)," / ",SUMIF($D$6:$D$370,D300,$G$6:$G$370))</f>
        <v>294 / 294</v>
      </c>
      <c r="N300" s="28" t="str">
        <f>CONCATENATE(SUM($G$6:$G300)," / ",SUM($G$6:$G$370))</f>
        <v>2041,5 / 2316,5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614</v>
      </c>
      <c r="G301" s="225"/>
      <c r="H301" s="212" t="str">
        <f>CONCATENATE(SUMIF($C$6:$C301,C301,$E$6:$E$370)," / ",SUMIF($C$6:$C$370,C301,$E$6:$E$370))</f>
        <v>74 / 96</v>
      </c>
      <c r="I301" s="212" t="str">
        <f>CONCATENATE(SUMIF($D$6:$D301,D301,$E$6:$E$370)," / ",SUMIF($D$6:$D$370,D301,$E$6:$E$370))</f>
        <v>227 / 260</v>
      </c>
      <c r="J301" s="212" t="str">
        <f>CONCATENATE(SUM($E$6:$E301)," / ",SUM($E$6:$E$370))</f>
        <v>1952 / 2214</v>
      </c>
      <c r="K301" s="214" t="s">
        <v>575</v>
      </c>
      <c r="L301" s="28" t="str">
        <f>CONCATENATE(SUMIF($C$6:$C301,C301,$G$6:$G$370)," / ",SUMIF($C$6:$C$370,C301,$G$6:$G$370))</f>
        <v>26 / 26</v>
      </c>
      <c r="M301" s="28" t="str">
        <f>CONCATENATE(SUMIF($D$6:$D301,D301,$G$6:$G$370)," / ",SUMIF($D$6:$D$370,D301,$G$6:$G$370))</f>
        <v>294 / 294</v>
      </c>
      <c r="N301" s="28" t="str">
        <f>CONCATENATE(SUM($G$6:$G301)," / ",SUM($G$6:$G$370))</f>
        <v>2041,5 / 2316,5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615</v>
      </c>
      <c r="G302" s="225"/>
      <c r="H302" s="212" t="str">
        <f>CONCATENATE(SUMIF($C$6:$C302,C302,$E$6:$E$370)," / ",SUMIF($C$6:$C$370,C302,$E$6:$E$370))</f>
        <v>96 / 96</v>
      </c>
      <c r="I302" s="212" t="str">
        <f>CONCATENATE(SUMIF($D$6:$D302,D302,$E$6:$E$370)," / ",SUMIF($D$6:$D$370,D302,$E$6:$E$370))</f>
        <v>249 / 260</v>
      </c>
      <c r="J302" s="212" t="str">
        <f>CONCATENATE(SUM($E$6:$E302)," / ",SUM($E$6:$E$370))</f>
        <v>1974 / 2214</v>
      </c>
      <c r="K302" s="214" t="s">
        <v>477</v>
      </c>
      <c r="L302" s="28" t="str">
        <f>CONCATENATE(SUMIF($C$6:$C302,C302,$G$6:$G$370)," / ",SUMIF($C$6:$C$370,C302,$G$6:$G$370))</f>
        <v>26 / 26</v>
      </c>
      <c r="M302" s="28" t="str">
        <f>CONCATENATE(SUMIF($D$6:$D302,D302,$G$6:$G$370)," / ",SUMIF($D$6:$D$370,D302,$G$6:$G$370))</f>
        <v>294 / 294</v>
      </c>
      <c r="N302" s="28" t="str">
        <f>CONCATENATE(SUM($G$6:$G302)," / ",SUM($G$6:$G$370))</f>
        <v>2041,5 / 2316,5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626</v>
      </c>
      <c r="G303" s="225"/>
      <c r="H303" s="212" t="str">
        <f>CONCATENATE(SUMIF($C$6:$C303,C303,$E$6:$E$370)," / ",SUMIF($C$6:$C$370,C303,$E$6:$E$370))</f>
        <v>11 / 81</v>
      </c>
      <c r="I303" s="212" t="str">
        <f>CONCATENATE(SUMIF($D$6:$D303,D303,$E$6:$E$370)," / ",SUMIF($D$6:$D$370,D303,$E$6:$E$370))</f>
        <v>260 / 260</v>
      </c>
      <c r="J303" s="212" t="str">
        <f>CONCATENATE(SUM($E$6:$E303)," / ",SUM($E$6:$E$370))</f>
        <v>1985 / 2214</v>
      </c>
      <c r="K303" s="214" t="s">
        <v>477</v>
      </c>
      <c r="L303" s="28" t="str">
        <f>CONCATENATE(SUMIF($C$6:$C303,C303,$G$6:$G$370)," / ",SUMIF($C$6:$C$370,C303,$G$6:$G$370))</f>
        <v>0 / 30</v>
      </c>
      <c r="M303" s="28" t="str">
        <f>CONCATENATE(SUMIF($D$6:$D303,D303,$G$6:$G$370)," / ",SUMIF($D$6:$D$370,D303,$G$6:$G$370))</f>
        <v>294 / 294</v>
      </c>
      <c r="N303" s="28" t="str">
        <f>CONCATENATE(SUM($G$6:$G303)," / ",SUM($G$6:$G$370))</f>
        <v>2041,5 / 2316,5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2214</v>
      </c>
      <c r="K304" s="214"/>
      <c r="L304" s="28" t="str">
        <f>CONCATENATE(SUMIF($C$6:$C304,C304,$G$6:$G$370)," / ",SUMIF($C$6:$C$370,C304,$G$6:$G$370))</f>
        <v>0 / 30</v>
      </c>
      <c r="M304" s="28" t="str">
        <f>CONCATENATE(SUMIF($D$6:$D304,D304,$G$6:$G$370)," / ",SUMIF($D$6:$D$370,D304,$G$6:$G$370))</f>
        <v>294 / 294</v>
      </c>
      <c r="N304" s="28" t="str">
        <f>CONCATENATE(SUM($G$6:$G304)," / ",SUM($G$6:$G$370))</f>
        <v>2041,5 / 2316,5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627</v>
      </c>
      <c r="G305" s="225"/>
      <c r="H305" s="212" t="str">
        <f>CONCATENATE(SUMIF($C$6:$C305,C305,$E$6:$E$370)," / ",SUMIF($C$6:$C$370,C305,$E$6:$E$370))</f>
        <v>27 / 81</v>
      </c>
      <c r="I305" s="212" t="str">
        <f>CONCATENATE(SUMIF($D$6:$D305,D305,$E$6:$E$370)," / ",SUMIF($D$6:$D$370,D305,$E$6:$E$370))</f>
        <v>16 / 229</v>
      </c>
      <c r="J305" s="212" t="str">
        <f>CONCATENATE(SUM($E$6:$E305)," / ",SUM($E$6:$E$370))</f>
        <v>2001 / 2214</v>
      </c>
      <c r="K305" s="214" t="s">
        <v>477</v>
      </c>
      <c r="L305" s="28" t="str">
        <f>CONCATENATE(SUMIF($C$6:$C305,C305,$G$6:$G$370)," / ",SUMIF($C$6:$C$370,C305,$G$6:$G$370))</f>
        <v>0 / 30</v>
      </c>
      <c r="M305" s="28" t="str">
        <f>CONCATENATE(SUMIF($D$6:$D305,D305,$G$6:$G$370)," / ",SUMIF($D$6:$D$370,D305,$G$6:$G$370))</f>
        <v>0 / 275</v>
      </c>
      <c r="N305" s="28" t="str">
        <f>CONCATENATE(SUM($G$6:$G305)," / ",SUM($G$6:$G$370))</f>
        <v>2041,5 / 2316,5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628</v>
      </c>
      <c r="G306" s="225">
        <v>15</v>
      </c>
      <c r="H306" s="212" t="str">
        <f>CONCATENATE(SUMIF($C$6:$C306,C306,$E$6:$E$370)," / ",SUMIF($C$6:$C$370,C306,$E$6:$E$370))</f>
        <v>46 / 81</v>
      </c>
      <c r="I306" s="212" t="str">
        <f>CONCATENATE(SUMIF($D$6:$D306,D306,$E$6:$E$370)," / ",SUMIF($D$6:$D$370,D306,$E$6:$E$370))</f>
        <v>35 / 229</v>
      </c>
      <c r="J306" s="212" t="str">
        <f>CONCATENATE(SUM($E$6:$E306)," / ",SUM($E$6:$E$370))</f>
        <v>2020 / 2214</v>
      </c>
      <c r="K306" s="214" t="s">
        <v>477</v>
      </c>
      <c r="L306" s="28" t="str">
        <f>CONCATENATE(SUMIF($C$6:$C306,C306,$G$6:$G$370)," / ",SUMIF($C$6:$C$370,C306,$G$6:$G$370))</f>
        <v>15 / 30</v>
      </c>
      <c r="M306" s="28" t="str">
        <f>CONCATENATE(SUMIF($D$6:$D306,D306,$G$6:$G$370)," / ",SUMIF($D$6:$D$370,D306,$G$6:$G$370))</f>
        <v>15 / 275</v>
      </c>
      <c r="N306" s="28" t="str">
        <f>CONCATENATE(SUM($G$6:$G306)," / ",SUM($G$6:$G$370))</f>
        <v>2056,5 / 2316,5</v>
      </c>
      <c r="O306" s="24" t="s">
        <v>488</v>
      </c>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629</v>
      </c>
      <c r="G307" s="225"/>
      <c r="H307" s="212" t="str">
        <f>CONCATENATE(SUMIF($C$6:$C307,C307,$E$6:$E$370)," / ",SUMIF($C$6:$C$370,C307,$E$6:$E$370))</f>
        <v>56 / 81</v>
      </c>
      <c r="I307" s="212" t="str">
        <f>CONCATENATE(SUMIF($D$6:$D307,D307,$E$6:$E$370)," / ",SUMIF($D$6:$D$370,D307,$E$6:$E$370))</f>
        <v>45 / 229</v>
      </c>
      <c r="J307" s="212" t="str">
        <f>CONCATENATE(SUM($E$6:$E307)," / ",SUM($E$6:$E$370))</f>
        <v>2030 / 2214</v>
      </c>
      <c r="K307" s="214" t="s">
        <v>631</v>
      </c>
      <c r="L307" s="28" t="str">
        <f>CONCATENATE(SUMIF($C$6:$C307,C307,$G$6:$G$370)," / ",SUMIF($C$6:$C$370,C307,$G$6:$G$370))</f>
        <v>15 / 30</v>
      </c>
      <c r="M307" s="28" t="str">
        <f>CONCATENATE(SUMIF($D$6:$D307,D307,$G$6:$G$370)," / ",SUMIF($D$6:$D$370,D307,$G$6:$G$370))</f>
        <v>15 / 275</v>
      </c>
      <c r="N307" s="28" t="str">
        <f>CONCATENATE(SUM($G$6:$G307)," / ",SUM($G$6:$G$370))</f>
        <v>2056,5 / 2316,5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632</v>
      </c>
      <c r="G308" s="225"/>
      <c r="H308" s="212" t="str">
        <f>CONCATENATE(SUMIF($C$6:$C308,C308,$E$6:$E$370)," / ",SUMIF($C$6:$C$370,C308,$E$6:$E$370))</f>
        <v>65 / 81</v>
      </c>
      <c r="I308" s="212" t="str">
        <f>CONCATENATE(SUMIF($D$6:$D308,D308,$E$6:$E$370)," / ",SUMIF($D$6:$D$370,D308,$E$6:$E$370))</f>
        <v>54 / 229</v>
      </c>
      <c r="J308" s="212" t="str">
        <f>CONCATENATE(SUM($E$6:$E308)," / ",SUM($E$6:$E$370))</f>
        <v>2039 / 2214</v>
      </c>
      <c r="K308" s="214" t="s">
        <v>631</v>
      </c>
      <c r="L308" s="28" t="str">
        <f>CONCATENATE(SUMIF($C$6:$C308,C308,$G$6:$G$370)," / ",SUMIF($C$6:$C$370,C308,$G$6:$G$370))</f>
        <v>15 / 30</v>
      </c>
      <c r="M308" s="28" t="str">
        <f>CONCATENATE(SUMIF($D$6:$D308,D308,$G$6:$G$370)," / ",SUMIF($D$6:$D$370,D308,$G$6:$G$370))</f>
        <v>15 / 275</v>
      </c>
      <c r="N308" s="28" t="str">
        <f>CONCATENATE(SUM($G$6:$G308)," / ",SUM($G$6:$G$370))</f>
        <v>2056,5 / 2316,5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597</v>
      </c>
      <c r="G309" s="193">
        <v>15</v>
      </c>
      <c r="H309" s="194" t="str">
        <f>CONCATENATE(SUMIF($C$6:$C309,C309,$E$6:$E$370)," / ",SUMIF($C$6:$C$370,C309,$E$6:$E$370))</f>
        <v>81 / 81</v>
      </c>
      <c r="I309" s="194" t="str">
        <f>CONCATENATE(SUMIF($D$6:$D309,D309,$E$6:$E$370)," / ",SUMIF($D$6:$D$370,D309,$E$6:$E$370))</f>
        <v>70 / 229</v>
      </c>
      <c r="J309" s="194" t="str">
        <f>CONCATENATE(SUM($E$6:$E309)," / ",SUM($E$6:$E$370))</f>
        <v>2055 / 2214</v>
      </c>
      <c r="K309" s="196" t="s">
        <v>631</v>
      </c>
      <c r="L309" s="28" t="str">
        <f>CONCATENATE(SUMIF($C$6:$C309,C309,$G$6:$G$370)," / ",SUMIF($C$6:$C$370,C309,$G$6:$G$370))</f>
        <v>30 / 30</v>
      </c>
      <c r="M309" s="28" t="str">
        <f>CONCATENATE(SUMIF($D$6:$D309,D309,$G$6:$G$370)," / ",SUMIF($D$6:$D$370,D309,$G$6:$G$370))</f>
        <v>30 / 275</v>
      </c>
      <c r="N309" s="28" t="str">
        <f>CONCATENATE(SUM($G$6:$G309)," / ",SUM($G$6:$G$370))</f>
        <v>2071,5 / 2316,5</v>
      </c>
      <c r="O309" s="24" t="s">
        <v>488</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416</v>
      </c>
      <c r="G310" s="225"/>
      <c r="H310" s="212" t="str">
        <f>CONCATENATE(SUMIF($C$6:$C310,C310,$E$6:$E$370)," / ",SUMIF($C$6:$C$370,C310,$E$6:$E$370))</f>
        <v>10 / 44</v>
      </c>
      <c r="I310" s="212" t="str">
        <f>CONCATENATE(SUMIF($D$6:$D310,D310,$E$6:$E$370)," / ",SUMIF($D$6:$D$370,D310,$E$6:$E$370))</f>
        <v>80 / 229</v>
      </c>
      <c r="J310" s="212" t="str">
        <f>CONCATENATE(SUM($E$6:$E310)," / ",SUM($E$6:$E$370))</f>
        <v>2065 / 2214</v>
      </c>
      <c r="K310" s="214" t="s">
        <v>477</v>
      </c>
      <c r="L310" s="28" t="str">
        <f>CONCATENATE(SUMIF($C$6:$C310,C310,$G$6:$G$370)," / ",SUMIF($C$6:$C$370,C310,$G$6:$G$370))</f>
        <v>0 / 27</v>
      </c>
      <c r="M310" s="28" t="str">
        <f>CONCATENATE(SUMIF($D$6:$D310,D310,$G$6:$G$370)," / ",SUMIF($D$6:$D$370,D310,$G$6:$G$370))</f>
        <v>30 / 275</v>
      </c>
      <c r="N310" s="28" t="str">
        <f>CONCATENATE(SUM($G$6:$G310)," / ",SUM($G$6:$G$370))</f>
        <v>2071,5 / 2316,5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637</v>
      </c>
      <c r="G311" s="225">
        <v>27</v>
      </c>
      <c r="H311" s="212" t="str">
        <f>CONCATENATE(SUMIF($C$6:$C311,C311,$E$6:$E$370)," / ",SUMIF($C$6:$C$370,C311,$E$6:$E$370))</f>
        <v>22 / 44</v>
      </c>
      <c r="I311" s="212" t="str">
        <f>CONCATENATE(SUMIF($D$6:$D311,D311,$E$6:$E$370)," / ",SUMIF($D$6:$D$370,D311,$E$6:$E$370))</f>
        <v>92 / 229</v>
      </c>
      <c r="J311" s="212" t="str">
        <f>CONCATENATE(SUM($E$6:$E311)," / ",SUM($E$6:$E$370))</f>
        <v>2077 / 2214</v>
      </c>
      <c r="K311" s="214" t="s">
        <v>631</v>
      </c>
      <c r="L311" s="28" t="str">
        <f>CONCATENATE(SUMIF($C$6:$C311,C311,$G$6:$G$370)," / ",SUMIF($C$6:$C$370,C311,$G$6:$G$370))</f>
        <v>27 / 27</v>
      </c>
      <c r="M311" s="28" t="str">
        <f>CONCATENATE(SUMIF($D$6:$D311,D311,$G$6:$G$370)," / ",SUMIF($D$6:$D$370,D311,$G$6:$G$370))</f>
        <v>57 / 275</v>
      </c>
      <c r="N311" s="28" t="str">
        <f>CONCATENATE(SUM($G$6:$G311)," / ",SUM($G$6:$G$370))</f>
        <v>2098,5 / 2316,5</v>
      </c>
      <c r="O311" s="24" t="s">
        <v>488</v>
      </c>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420</v>
      </c>
      <c r="G312" s="225"/>
      <c r="H312" s="212" t="str">
        <f>CONCATENATE(SUMIF($C$6:$C312,C312,$E$6:$E$370)," / ",SUMIF($C$6:$C$370,C312,$E$6:$E$370))</f>
        <v>22 / 44</v>
      </c>
      <c r="I312" s="212" t="str">
        <f>CONCATENATE(SUMIF($D$6:$D312,D312,$E$6:$E$370)," / ",SUMIF($D$6:$D$370,D312,$E$6:$E$370))</f>
        <v>92 / 229</v>
      </c>
      <c r="J312" s="212" t="str">
        <f>CONCATENATE(SUM($E$6:$E312)," / ",SUM($E$6:$E$370))</f>
        <v>2077 / 2214</v>
      </c>
      <c r="K312" s="214"/>
      <c r="L312" s="28" t="str">
        <f>CONCATENATE(SUMIF($C$6:$C312,C312,$G$6:$G$370)," / ",SUMIF($C$6:$C$370,C312,$G$6:$G$370))</f>
        <v>27 / 27</v>
      </c>
      <c r="M312" s="28" t="str">
        <f>CONCATENATE(SUMIF($D$6:$D312,D312,$G$6:$G$370)," / ",SUMIF($D$6:$D$370,D312,$G$6:$G$370))</f>
        <v>57 / 275</v>
      </c>
      <c r="N312" s="28" t="str">
        <f>CONCATENATE(SUM($G$6:$G312)," / ",SUM($G$6:$G$370))</f>
        <v>2098,5 / 2316,5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634</v>
      </c>
      <c r="G313" s="225"/>
      <c r="H313" s="212" t="str">
        <f>CONCATENATE(SUMIF($C$6:$C313,C313,$E$6:$E$370)," / ",SUMIF($C$6:$C$370,C313,$E$6:$E$370))</f>
        <v>44 / 44</v>
      </c>
      <c r="I313" s="212" t="str">
        <f>CONCATENATE(SUMIF($D$6:$D313,D313,$E$6:$E$370)," / ",SUMIF($D$6:$D$370,D313,$E$6:$E$370))</f>
        <v>114 / 229</v>
      </c>
      <c r="J313" s="212" t="str">
        <f>CONCATENATE(SUM($E$6:$E313)," / ",SUM($E$6:$E$370))</f>
        <v>2099 / 2214</v>
      </c>
      <c r="K313" s="214" t="s">
        <v>631</v>
      </c>
      <c r="L313" s="28" t="str">
        <f>CONCATENATE(SUMIF($C$6:$C313,C313,$G$6:$G$370)," / ",SUMIF($C$6:$C$370,C313,$G$6:$G$370))</f>
        <v>27 / 27</v>
      </c>
      <c r="M313" s="28" t="str">
        <f>CONCATENATE(SUMIF($D$6:$D313,D313,$G$6:$G$370)," / ",SUMIF($D$6:$D$370,D313,$G$6:$G$370))</f>
        <v>57 / 275</v>
      </c>
      <c r="N313" s="28" t="str">
        <f>CONCATENATE(SUM($G$6:$G313)," / ",SUM($G$6:$G$370))</f>
        <v>2098,5 / 2316,5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229</v>
      </c>
      <c r="J314" s="212" t="str">
        <f>CONCATENATE(SUM($E$6:$E314)," / ",SUM($E$6:$E$370))</f>
        <v>2099 / 2214</v>
      </c>
      <c r="K314" s="214"/>
      <c r="L314" s="28" t="str">
        <f>CONCATENATE(SUMIF($C$6:$C314,C314,$G$6:$G$370)," / ",SUMIF($C$6:$C$370,C314,$G$6:$G$370))</f>
        <v>27 / 27</v>
      </c>
      <c r="M314" s="28" t="str">
        <f>CONCATENATE(SUMIF($D$6:$D314,D314,$G$6:$G$370)," / ",SUMIF($D$6:$D$370,D314,$G$6:$G$370))</f>
        <v>57 / 275</v>
      </c>
      <c r="N314" s="28" t="str">
        <f>CONCATENATE(SUM($G$6:$G314)," / ",SUM($G$6:$G$370))</f>
        <v>2098,5 / 2316,5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229</v>
      </c>
      <c r="J315" s="212" t="str">
        <f>CONCATENATE(SUM($E$6:$E315)," / ",SUM($E$6:$E$370))</f>
        <v>2099 / 2214</v>
      </c>
      <c r="K315" s="214"/>
      <c r="L315" s="28" t="str">
        <f>CONCATENATE(SUMIF($C$6:$C315,C315,$G$6:$G$370)," / ",SUMIF($C$6:$C$370,C315,$G$6:$G$370))</f>
        <v>27 / 27</v>
      </c>
      <c r="M315" s="28" t="str">
        <f>CONCATENATE(SUMIF($D$6:$D315,D315,$G$6:$G$370)," / ",SUMIF($D$6:$D$370,D315,$G$6:$G$370))</f>
        <v>57 / 275</v>
      </c>
      <c r="N315" s="28" t="str">
        <f>CONCATENATE(SUM($G$6:$G315)," / ",SUM($G$6:$G$370))</f>
        <v>2098,5 / 2316,5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229</v>
      </c>
      <c r="J316" s="212" t="str">
        <f>CONCATENATE(SUM($E$6:$E316)," / ",SUM($E$6:$E$370))</f>
        <v>2099 / 2214</v>
      </c>
      <c r="K316" s="214"/>
      <c r="L316" s="28" t="str">
        <f>CONCATENATE(SUMIF($C$6:$C316,C316,$G$6:$G$370)," / ",SUMIF($C$6:$C$370,C316,$G$6:$G$370))</f>
        <v>27 / 27</v>
      </c>
      <c r="M316" s="28" t="str">
        <f>CONCATENATE(SUMIF($D$6:$D316,D316,$G$6:$G$370)," / ",SUMIF($D$6:$D$370,D316,$G$6:$G$370))</f>
        <v>57 / 275</v>
      </c>
      <c r="N316" s="28" t="str">
        <f>CONCATENATE(SUM($G$6:$G316)," / ",SUM($G$6:$G$370))</f>
        <v>2098,5 / 2316,5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636</v>
      </c>
      <c r="G317" s="225"/>
      <c r="H317" s="212" t="str">
        <f>CONCATENATE(SUMIF($C$6:$C317,C317,$E$6:$E$370)," / ",SUMIF($C$6:$C$370,C317,$E$6:$E$370))</f>
        <v>10 / 54</v>
      </c>
      <c r="I317" s="212" t="str">
        <f>CONCATENATE(SUMIF($D$6:$D317,D317,$E$6:$E$370)," / ",SUMIF($D$6:$D$370,D317,$E$6:$E$370))</f>
        <v>124 / 229</v>
      </c>
      <c r="J317" s="212" t="str">
        <f>CONCATENATE(SUM($E$6:$E317)," / ",SUM($E$6:$E$370))</f>
        <v>2109 / 2214</v>
      </c>
      <c r="K317" s="214"/>
      <c r="L317" s="28" t="str">
        <f>CONCATENATE(SUMIF($C$6:$C317,C317,$G$6:$G$370)," / ",SUMIF($C$6:$C$370,C317,$G$6:$G$370))</f>
        <v>0 / 87</v>
      </c>
      <c r="M317" s="28" t="str">
        <f>CONCATENATE(SUMIF($D$6:$D317,D317,$G$6:$G$370)," / ",SUMIF($D$6:$D$370,D317,$G$6:$G$370))</f>
        <v>57 / 275</v>
      </c>
      <c r="N317" s="28" t="str">
        <f>CONCATENATE(SUM($G$6:$G317)," / ",SUM($G$6:$G$370))</f>
        <v>2098,5 / 2316,5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229</v>
      </c>
      <c r="J318" s="212" t="str">
        <f>CONCATENATE(SUM($E$6:$E318)," / ",SUM($E$6:$E$370))</f>
        <v>2109 / 2214</v>
      </c>
      <c r="K318" s="214"/>
      <c r="L318" s="28" t="str">
        <f>CONCATENATE(SUMIF($C$6:$C318,C318,$G$6:$G$370)," / ",SUMIF($C$6:$C$370,C318,$G$6:$G$370))</f>
        <v>0 / 87</v>
      </c>
      <c r="M318" s="28" t="str">
        <f>CONCATENATE(SUMIF($D$6:$D318,D318,$G$6:$G$370)," / ",SUMIF($D$6:$D$370,D318,$G$6:$G$370))</f>
        <v>57 / 275</v>
      </c>
      <c r="N318" s="28" t="str">
        <f>CONCATENATE(SUM($G$6:$G318)," / ",SUM($G$6:$G$370))</f>
        <v>2098,5 / 2316,5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229</v>
      </c>
      <c r="J319" s="212" t="str">
        <f>CONCATENATE(SUM($E$6:$E319)," / ",SUM($E$6:$E$370))</f>
        <v>2109 / 2214</v>
      </c>
      <c r="K319" s="214"/>
      <c r="L319" s="28" t="str">
        <f>CONCATENATE(SUMIF($C$6:$C319,C319,$G$6:$G$370)," / ",SUMIF($C$6:$C$370,C319,$G$6:$G$370))</f>
        <v>0 / 87</v>
      </c>
      <c r="M319" s="28" t="str">
        <f>CONCATENATE(SUMIF($D$6:$D319,D319,$G$6:$G$370)," / ",SUMIF($D$6:$D$370,D319,$G$6:$G$370))</f>
        <v>57 / 275</v>
      </c>
      <c r="N319" s="28" t="str">
        <f>CONCATENATE(SUM($G$6:$G319)," / ",SUM($G$6:$G$370))</f>
        <v>2098,5 / 2316,5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635</v>
      </c>
      <c r="G320" s="225"/>
      <c r="H320" s="212" t="str">
        <f>CONCATENATE(SUMIF($C$6:$C320,C320,$E$6:$E$370)," / ",SUMIF($C$6:$C$370,C320,$E$6:$E$370))</f>
        <v>24 / 54</v>
      </c>
      <c r="I320" s="212" t="str">
        <f>CONCATENATE(SUMIF($D$6:$D320,D320,$E$6:$E$370)," / ",SUMIF($D$6:$D$370,D320,$E$6:$E$370))</f>
        <v>138 / 229</v>
      </c>
      <c r="J320" s="212" t="str">
        <f>CONCATENATE(SUM($E$6:$E320)," / ",SUM($E$6:$E$370))</f>
        <v>2123 / 2214</v>
      </c>
      <c r="K320" s="214" t="s">
        <v>631</v>
      </c>
      <c r="L320" s="28" t="str">
        <f>CONCATENATE(SUMIF($C$6:$C320,C320,$G$6:$G$370)," / ",SUMIF($C$6:$C$370,C320,$G$6:$G$370))</f>
        <v>0 / 87</v>
      </c>
      <c r="M320" s="28" t="str">
        <f>CONCATENATE(SUMIF($D$6:$D320,D320,$G$6:$G$370)," / ",SUMIF($D$6:$D$370,D320,$G$6:$G$370))</f>
        <v>57 / 275</v>
      </c>
      <c r="N320" s="28" t="str">
        <f>CONCATENATE(SUM($G$6:$G320)," / ",SUM($G$6:$G$370))</f>
        <v>2098,5 / 2316,5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638</v>
      </c>
      <c r="G321" s="225">
        <v>30</v>
      </c>
      <c r="H321" s="212" t="str">
        <f>CONCATENATE(SUMIF($C$6:$C321,C321,$E$6:$E$370)," / ",SUMIF($C$6:$C$370,C321,$E$6:$E$370))</f>
        <v>32 / 54</v>
      </c>
      <c r="I321" s="212" t="str">
        <f>CONCATENATE(SUMIF($D$6:$D321,D321,$E$6:$E$370)," / ",SUMIF($D$6:$D$370,D321,$E$6:$E$370))</f>
        <v>146 / 229</v>
      </c>
      <c r="J321" s="212" t="str">
        <f>CONCATENATE(SUM($E$6:$E321)," / ",SUM($E$6:$E$370))</f>
        <v>2131 / 2214</v>
      </c>
      <c r="K321" s="214" t="s">
        <v>631</v>
      </c>
      <c r="L321" s="28" t="str">
        <f>CONCATENATE(SUMIF($C$6:$C321,C321,$G$6:$G$370)," / ",SUMIF($C$6:$C$370,C321,$G$6:$G$370))</f>
        <v>30 / 87</v>
      </c>
      <c r="M321" s="28" t="str">
        <f>CONCATENATE(SUMIF($D$6:$D321,D321,$G$6:$G$370)," / ",SUMIF($D$6:$D$370,D321,$G$6:$G$370))</f>
        <v>87 / 275</v>
      </c>
      <c r="N321" s="28" t="str">
        <f>CONCATENATE(SUM($G$6:$G321)," / ",SUM($G$6:$G$370))</f>
        <v>2128,5 / 2316,5</v>
      </c>
      <c r="O321" s="24" t="s">
        <v>488</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639</v>
      </c>
      <c r="G322" s="225">
        <v>37</v>
      </c>
      <c r="H322" s="212" t="str">
        <f>CONCATENATE(SUMIF($C$6:$C322,C322,$E$6:$E$370)," / ",SUMIF($C$6:$C$370,C322,$E$6:$E$370))</f>
        <v>38 / 54</v>
      </c>
      <c r="I322" s="212" t="str">
        <f>CONCATENATE(SUMIF($D$6:$D322,D322,$E$6:$E$370)," / ",SUMIF($D$6:$D$370,D322,$E$6:$E$370))</f>
        <v>152 / 229</v>
      </c>
      <c r="J322" s="212" t="str">
        <f>CONCATENATE(SUM($E$6:$E322)," / ",SUM($E$6:$E$370))</f>
        <v>2137 / 2214</v>
      </c>
      <c r="K322" s="214" t="s">
        <v>575</v>
      </c>
      <c r="L322" s="28" t="str">
        <f>CONCATENATE(SUMIF($C$6:$C322,C322,$G$6:$G$370)," / ",SUMIF($C$6:$C$370,C322,$G$6:$G$370))</f>
        <v>67 / 87</v>
      </c>
      <c r="M322" s="28" t="str">
        <f>CONCATENATE(SUMIF($D$6:$D322,D322,$G$6:$G$370)," / ",SUMIF($D$6:$D$370,D322,$G$6:$G$370))</f>
        <v>124 / 275</v>
      </c>
      <c r="N322" s="28" t="str">
        <f>CONCATENATE(SUM($G$6:$G322)," / ",SUM($G$6:$G$370))</f>
        <v>2165,5 / 2316,5</v>
      </c>
      <c r="O322" s="24" t="s">
        <v>488</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671</v>
      </c>
      <c r="G323" s="225">
        <v>20</v>
      </c>
      <c r="H323" s="212" t="str">
        <f>CONCATENATE(SUMIF($C$6:$C323,C323,$E$6:$E$370)," / ",SUMIF($C$6:$C$370,C323,$E$6:$E$370))</f>
        <v>54 / 54</v>
      </c>
      <c r="I323" s="212" t="str">
        <f>CONCATENATE(SUMIF($D$6:$D323,D323,$E$6:$E$370)," / ",SUMIF($D$6:$D$370,D323,$E$6:$E$370))</f>
        <v>168 / 229</v>
      </c>
      <c r="J323" s="212" t="str">
        <f>CONCATENATE(SUM($E$6:$E323)," / ",SUM($E$6:$E$370))</f>
        <v>2153 / 2214</v>
      </c>
      <c r="K323" s="214" t="s">
        <v>631</v>
      </c>
      <c r="L323" s="28" t="str">
        <f>CONCATENATE(SUMIF($C$6:$C323,C323,$G$6:$G$370)," / ",SUMIF($C$6:$C$370,C323,$G$6:$G$370))</f>
        <v>87 / 87</v>
      </c>
      <c r="M323" s="28" t="str">
        <f>CONCATENATE(SUMIF($D$6:$D323,D323,$G$6:$G$370)," / ",SUMIF($D$6:$D$370,D323,$G$6:$G$370))</f>
        <v>144 / 275</v>
      </c>
      <c r="N323" s="28" t="str">
        <f>CONCATENATE(SUM($G$6:$G323)," / ",SUM($G$6:$G$370))</f>
        <v>2185,5 / 2316,5</v>
      </c>
      <c r="O323" s="24" t="s">
        <v>488</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0</v>
      </c>
      <c r="F324" s="213" t="s">
        <v>672</v>
      </c>
      <c r="G324" s="225">
        <v>57</v>
      </c>
      <c r="H324" s="212" t="str">
        <f>CONCATENATE(SUMIF($C$6:$C324,C324,$E$6:$E$370)," / ",SUMIF($C$6:$C$370,C324,$E$6:$E$370))</f>
        <v>0 / 46</v>
      </c>
      <c r="I324" s="212" t="str">
        <f>CONCATENATE(SUMIF($D$6:$D324,D324,$E$6:$E$370)," / ",SUMIF($D$6:$D$370,D324,$E$6:$E$370))</f>
        <v>168 / 229</v>
      </c>
      <c r="J324" s="212" t="str">
        <f>CONCATENATE(SUM($E$6:$E324)," / ",SUM($E$6:$E$370))</f>
        <v>2153 / 2214</v>
      </c>
      <c r="K324" s="214"/>
      <c r="L324" s="28" t="str">
        <f>CONCATENATE(SUMIF($C$6:$C324,C324,$G$6:$G$370)," / ",SUMIF($C$6:$C$370,C324,$G$6:$G$370))</f>
        <v>57 / 93</v>
      </c>
      <c r="M324" s="28" t="str">
        <f>CONCATENATE(SUMIF($D$6:$D324,D324,$G$6:$G$370)," / ",SUMIF($D$6:$D$370,D324,$G$6:$G$370))</f>
        <v>201 / 275</v>
      </c>
      <c r="N324" s="28" t="str">
        <f>CONCATENATE(SUM($G$6:$G324)," / ",SUM($G$6:$G$370))</f>
        <v>2242,5 / 2316,5</v>
      </c>
      <c r="O324" s="24" t="s">
        <v>488</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0 / 46</v>
      </c>
      <c r="I325" s="212" t="str">
        <f>CONCATENATE(SUMIF($D$6:$D325,D325,$E$6:$E$370)," / ",SUMIF($D$6:$D$370,D325,$E$6:$E$370))</f>
        <v>168 / 229</v>
      </c>
      <c r="J325" s="212" t="str">
        <f>CONCATENATE(SUM($E$6:$E325)," / ",SUM($E$6:$E$370))</f>
        <v>2153 / 2214</v>
      </c>
      <c r="K325" s="214"/>
      <c r="L325" s="28" t="str">
        <f>CONCATENATE(SUMIF($C$6:$C325,C325,$G$6:$G$370)," / ",SUMIF($C$6:$C$370,C325,$G$6:$G$370))</f>
        <v>57 / 93</v>
      </c>
      <c r="M325" s="28" t="str">
        <f>CONCATENATE(SUMIF($D$6:$D325,D325,$G$6:$G$370)," / ",SUMIF($D$6:$D$370,D325,$G$6:$G$370))</f>
        <v>201 / 275</v>
      </c>
      <c r="N325" s="28" t="str">
        <f>CONCATENATE(SUM($G$6:$G325)," / ",SUM($G$6:$G$370))</f>
        <v>2242,5 / 2316,5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674</v>
      </c>
      <c r="G326" s="225">
        <v>36</v>
      </c>
      <c r="H326" s="212" t="str">
        <f>CONCATENATE(SUMIF($C$6:$C326,C326,$E$6:$E$370)," / ",SUMIF($C$6:$C$370,C326,$E$6:$E$370))</f>
        <v>20 / 46</v>
      </c>
      <c r="I326" s="212" t="str">
        <f>CONCATENATE(SUMIF($D$6:$D326,D326,$E$6:$E$370)," / ",SUMIF($D$6:$D$370,D326,$E$6:$E$370))</f>
        <v>188 / 229</v>
      </c>
      <c r="J326" s="212" t="str">
        <f>CONCATENATE(SUM($E$6:$E326)," / ",SUM($E$6:$E$370))</f>
        <v>2173 / 2214</v>
      </c>
      <c r="K326" s="214" t="s">
        <v>575</v>
      </c>
      <c r="L326" s="28" t="str">
        <f>CONCATENATE(SUMIF($C$6:$C326,C326,$G$6:$G$370)," / ",SUMIF($C$6:$C$370,C326,$G$6:$G$370))</f>
        <v>93 / 93</v>
      </c>
      <c r="M326" s="28" t="str">
        <f>CONCATENATE(SUMIF($D$6:$D326,D326,$G$6:$G$370)," / ",SUMIF($D$6:$D$370,D326,$G$6:$G$370))</f>
        <v>237 / 275</v>
      </c>
      <c r="N326" s="28" t="str">
        <f>CONCATENATE(SUM($G$6:$G326)," / ",SUM($G$6:$G$370))</f>
        <v>2278,5 / 2316,5</v>
      </c>
      <c r="O326" s="24" t="s">
        <v>488</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675</v>
      </c>
      <c r="G327" s="225"/>
      <c r="H327" s="212" t="str">
        <f>CONCATENATE(SUMIF($C$6:$C327,C327,$E$6:$E$370)," / ",SUMIF($C$6:$C$370,C327,$E$6:$E$370))</f>
        <v>20 / 46</v>
      </c>
      <c r="I327" s="212" t="str">
        <f>CONCATENATE(SUMIF($D$6:$D327,D327,$E$6:$E$370)," / ",SUMIF($D$6:$D$370,D327,$E$6:$E$370))</f>
        <v>188 / 229</v>
      </c>
      <c r="J327" s="212" t="str">
        <f>CONCATENATE(SUM($E$6:$E327)," / ",SUM($E$6:$E$370))</f>
        <v>2173 / 2214</v>
      </c>
      <c r="K327" s="214"/>
      <c r="L327" s="28" t="str">
        <f>CONCATENATE(SUMIF($C$6:$C327,C327,$G$6:$G$370)," / ",SUMIF($C$6:$C$370,C327,$G$6:$G$370))</f>
        <v>93 / 93</v>
      </c>
      <c r="M327" s="28" t="str">
        <f>CONCATENATE(SUMIF($D$6:$D327,D327,$G$6:$G$370)," / ",SUMIF($D$6:$D$370,D327,$G$6:$G$370))</f>
        <v>237 / 275</v>
      </c>
      <c r="N327" s="28" t="str">
        <f>CONCATENATE(SUM($G$6:$G327)," / ",SUM($G$6:$G$370))</f>
        <v>2278,5 / 2316,5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676</v>
      </c>
      <c r="G328" s="225"/>
      <c r="H328" s="212" t="str">
        <f>CONCATENATE(SUMIF($C$6:$C328,C328,$E$6:$E$370)," / ",SUMIF($C$6:$C$370,C328,$E$6:$E$370))</f>
        <v>26 / 46</v>
      </c>
      <c r="I328" s="212" t="str">
        <f>CONCATENATE(SUMIF($D$6:$D328,D328,$E$6:$E$370)," / ",SUMIF($D$6:$D$370,D328,$E$6:$E$370))</f>
        <v>194 / 229</v>
      </c>
      <c r="J328" s="212" t="str">
        <f>CONCATENATE(SUM($E$6:$E328)," / ",SUM($E$6:$E$370))</f>
        <v>2179 / 2214</v>
      </c>
      <c r="K328" s="214" t="s">
        <v>575</v>
      </c>
      <c r="L328" s="28" t="str">
        <f>CONCATENATE(SUMIF($C$6:$C328,C328,$G$6:$G$370)," / ",SUMIF($C$6:$C$370,C328,$G$6:$G$370))</f>
        <v>93 / 93</v>
      </c>
      <c r="M328" s="28" t="str">
        <f>CONCATENATE(SUMIF($D$6:$D328,D328,$G$6:$G$370)," / ",SUMIF($D$6:$D$370,D328,$G$6:$G$370))</f>
        <v>237 / 275</v>
      </c>
      <c r="N328" s="28" t="str">
        <f>CONCATENATE(SUM($G$6:$G328)," / ",SUM($G$6:$G$370))</f>
        <v>2278,5 / 2316,5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479</v>
      </c>
      <c r="G329" s="225"/>
      <c r="H329" s="212" t="str">
        <f>CONCATENATE(SUMIF($C$6:$C329,C329,$E$6:$E$370)," / ",SUMIF($C$6:$C$370,C329,$E$6:$E$370))</f>
        <v>36 / 46</v>
      </c>
      <c r="I329" s="212" t="str">
        <f>CONCATENATE(SUMIF($D$6:$D329,D329,$E$6:$E$370)," / ",SUMIF($D$6:$D$370,D329,$E$6:$E$370))</f>
        <v>204 / 229</v>
      </c>
      <c r="J329" s="212" t="str">
        <f>CONCATENATE(SUM($E$6:$E329)," / ",SUM($E$6:$E$370))</f>
        <v>2189 / 2214</v>
      </c>
      <c r="K329" s="214" t="s">
        <v>575</v>
      </c>
      <c r="L329" s="28" t="str">
        <f>CONCATENATE(SUMIF($C$6:$C329,C329,$G$6:$G$370)," / ",SUMIF($C$6:$C$370,C329,$G$6:$G$370))</f>
        <v>93 / 93</v>
      </c>
      <c r="M329" s="28" t="str">
        <f>CONCATENATE(SUMIF($D$6:$D329,D329,$G$6:$G$370)," / ",SUMIF($D$6:$D$370,D329,$G$6:$G$370))</f>
        <v>237 / 275</v>
      </c>
      <c r="N329" s="28" t="str">
        <f>CONCATENATE(SUM($G$6:$G329)," / ",SUM($G$6:$G$370))</f>
        <v>2278,5 / 2316,5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626</v>
      </c>
      <c r="G330" s="225"/>
      <c r="H330" s="212" t="str">
        <f>CONCATENATE(SUMIF($C$6:$C330,C330,$E$6:$E$370)," / ",SUMIF($C$6:$C$370,C330,$E$6:$E$370))</f>
        <v>46 / 46</v>
      </c>
      <c r="I330" s="212" t="str">
        <f>CONCATENATE(SUMIF($D$6:$D330,D330,$E$6:$E$370)," / ",SUMIF($D$6:$D$370,D330,$E$6:$E$370))</f>
        <v>214 / 229</v>
      </c>
      <c r="J330" s="212" t="str">
        <f>CONCATENATE(SUM($E$6:$E330)," / ",SUM($E$6:$E$370))</f>
        <v>2199 / 2214</v>
      </c>
      <c r="K330" s="214" t="s">
        <v>575</v>
      </c>
      <c r="L330" s="28" t="str">
        <f>CONCATENATE(SUMIF($C$6:$C330,C330,$G$6:$G$370)," / ",SUMIF($C$6:$C$370,C330,$G$6:$G$370))</f>
        <v>93 / 93</v>
      </c>
      <c r="M330" s="28" t="str">
        <f>CONCATENATE(SUMIF($D$6:$D330,D330,$G$6:$G$370)," / ",SUMIF($D$6:$D$370,D330,$G$6:$G$370))</f>
        <v>237 / 275</v>
      </c>
      <c r="N330" s="28" t="str">
        <f>CONCATENATE(SUM($G$6:$G330)," / ",SUM($G$6:$G$370))</f>
        <v>2278,5 / 2316,5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677</v>
      </c>
      <c r="G331" s="225">
        <v>38</v>
      </c>
      <c r="H331" s="212" t="str">
        <f>CONCATENATE(SUMIF($C$6:$C331,C331,$E$6:$E$370)," / ",SUMIF($C$6:$C$370,C331,$E$6:$E$370))</f>
        <v>7 / 15</v>
      </c>
      <c r="I331" s="212" t="str">
        <f>CONCATENATE(SUMIF($D$6:$D331,D331,$E$6:$E$370)," / ",SUMIF($D$6:$D$370,D331,$E$6:$E$370))</f>
        <v>221 / 229</v>
      </c>
      <c r="J331" s="212" t="str">
        <f>CONCATENATE(SUM($E$6:$E331)," / ",SUM($E$6:$E$370))</f>
        <v>2206 / 2214</v>
      </c>
      <c r="K331" s="214" t="s">
        <v>575</v>
      </c>
      <c r="L331" s="28" t="str">
        <f>CONCATENATE(SUMIF($C$6:$C331,C331,$G$6:$G$370)," / ",SUMIF($C$6:$C$370,C331,$G$6:$G$370))</f>
        <v>38 / 38</v>
      </c>
      <c r="M331" s="28" t="str">
        <f>CONCATENATE(SUMIF($D$6:$D331,D331,$G$6:$G$370)," / ",SUMIF($D$6:$D$370,D331,$G$6:$G$370))</f>
        <v>275 / 275</v>
      </c>
      <c r="N331" s="28" t="str">
        <f>CONCATENATE(SUM($G$6:$G331)," / ",SUM($G$6:$G$370))</f>
        <v>2316,5 / 2316,5</v>
      </c>
      <c r="O331" s="24" t="s">
        <v>488</v>
      </c>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678</v>
      </c>
      <c r="G332" s="225"/>
      <c r="H332" s="212" t="str">
        <f>CONCATENATE(SUMIF($C$6:$C332,C332,$E$6:$E$370)," / ",SUMIF($C$6:$C$370,C332,$E$6:$E$370))</f>
        <v>15 / 15</v>
      </c>
      <c r="I332" s="212" t="str">
        <f>CONCATENATE(SUMIF($D$6:$D332,D332,$E$6:$E$370)," / ",SUMIF($D$6:$D$370,D332,$E$6:$E$370))</f>
        <v>229 / 229</v>
      </c>
      <c r="J332" s="212" t="str">
        <f>CONCATENATE(SUM($E$6:$E332)," / ",SUM($E$6:$E$370))</f>
        <v>2214 / 2214</v>
      </c>
      <c r="K332" s="214" t="s">
        <v>575</v>
      </c>
      <c r="L332" s="28" t="str">
        <f>CONCATENATE(SUMIF($C$6:$C332,C332,$G$6:$G$370)," / ",SUMIF($C$6:$C$370,C332,$G$6:$G$370))</f>
        <v>38 / 38</v>
      </c>
      <c r="M332" s="28" t="str">
        <f>CONCATENATE(SUMIF($D$6:$D332,D332,$G$6:$G$370)," / ",SUMIF($D$6:$D$370,D332,$G$6:$G$370))</f>
        <v>275 / 275</v>
      </c>
      <c r="N332" s="28" t="str">
        <f>CONCATENATE(SUM($G$6:$G332)," / ",SUM($G$6:$G$370))</f>
        <v>2316,5 / 2316,5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229 / 229</v>
      </c>
      <c r="J333" s="212" t="str">
        <f>CONCATENATE(SUM($E$6:$E333)," / ",SUM($E$6:$E$370))</f>
        <v>2214 / 2214</v>
      </c>
      <c r="K333" s="214"/>
      <c r="L333" s="28" t="str">
        <f>CONCATENATE(SUMIF($C$6:$C333,C333,$G$6:$G$370)," / ",SUMIF($C$6:$C$370,C333,$G$6:$G$370))</f>
        <v>38 / 38</v>
      </c>
      <c r="M333" s="28" t="str">
        <f>CONCATENATE(SUMIF($D$6:$D333,D333,$G$6:$G$370)," / ",SUMIF($D$6:$D$370,D333,$G$6:$G$370))</f>
        <v>275 / 275</v>
      </c>
      <c r="N333" s="28" t="str">
        <f>CONCATENATE(SUM($G$6:$G333)," / ",SUM($G$6:$G$370))</f>
        <v>2316,5 / 2316,5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229 / 229</v>
      </c>
      <c r="J334" s="212" t="str">
        <f>CONCATENATE(SUM($E$6:$E334)," / ",SUM($E$6:$E$370))</f>
        <v>2214 / 2214</v>
      </c>
      <c r="K334" s="214"/>
      <c r="L334" s="28" t="str">
        <f>CONCATENATE(SUMIF($C$6:$C334,C334,$G$6:$G$370)," / ",SUMIF($C$6:$C$370,C334,$G$6:$G$370))</f>
        <v>38 / 38</v>
      </c>
      <c r="M334" s="28" t="str">
        <f>CONCATENATE(SUMIF($D$6:$D334,D334,$G$6:$G$370)," / ",SUMIF($D$6:$D$370,D334,$G$6:$G$370))</f>
        <v>275 / 275</v>
      </c>
      <c r="N334" s="28" t="str">
        <f>CONCATENATE(SUM($G$6:$G334)," / ",SUM($G$6:$G$370))</f>
        <v>2316,5 / 2316,5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229 / 229</v>
      </c>
      <c r="J335" s="212" t="str">
        <f>CONCATENATE(SUM($E$6:$E335)," / ",SUM($E$6:$E$370))</f>
        <v>2214 / 2214</v>
      </c>
      <c r="K335" s="214"/>
      <c r="L335" s="28" t="str">
        <f>CONCATENATE(SUMIF($C$6:$C335,C335,$G$6:$G$370)," / ",SUMIF($C$6:$C$370,C335,$G$6:$G$370))</f>
        <v>38 / 38</v>
      </c>
      <c r="M335" s="28" t="str">
        <f>CONCATENATE(SUMIF($D$6:$D335,D335,$G$6:$G$370)," / ",SUMIF($D$6:$D$370,D335,$G$6:$G$370))</f>
        <v>275 / 275</v>
      </c>
      <c r="N335" s="28" t="str">
        <f>CONCATENATE(SUM($G$6:$G335)," / ",SUM($G$6:$G$370))</f>
        <v>2316,5 / 2316,5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topLeftCell="A32" workbookViewId="0">
      <selection activeCell="F37" sqref="F37"/>
    </sheetView>
  </sheetViews>
  <sheetFormatPr baseColWidth="10" defaultRowHeight="12" x14ac:dyDescent="0"/>
  <cols>
    <col min="1" max="1" width="14.33203125" customWidth="1"/>
    <col min="2" max="2" width="15.83203125" style="3" customWidth="1"/>
    <col min="5" max="5" width="15.33203125" bestFit="1" customWidth="1"/>
    <col min="6" max="6" width="64.16406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411" t="s">
        <v>165</v>
      </c>
      <c r="C2" s="412"/>
      <c r="D2" s="412"/>
      <c r="E2" s="412"/>
      <c r="F2" s="412"/>
      <c r="G2" s="412"/>
      <c r="H2" s="412"/>
      <c r="I2" s="412"/>
      <c r="J2" s="412"/>
      <c r="K2" s="412"/>
      <c r="L2" s="412"/>
      <c r="M2" s="412"/>
      <c r="N2" s="412"/>
      <c r="O2" s="412"/>
      <c r="P2" s="412"/>
      <c r="Q2" s="412"/>
      <c r="R2" s="412"/>
      <c r="S2" s="412"/>
      <c r="T2" s="412"/>
      <c r="U2" s="413"/>
    </row>
    <row r="5" spans="2:22" ht="13" thickBot="1">
      <c r="B5" s="421" t="s">
        <v>652</v>
      </c>
      <c r="C5" s="421"/>
      <c r="D5" s="421"/>
      <c r="E5" s="421"/>
      <c r="F5" s="421"/>
      <c r="G5" s="421"/>
      <c r="H5" s="421"/>
      <c r="I5" s="421"/>
      <c r="J5" s="421"/>
      <c r="K5" s="421"/>
      <c r="L5" s="421"/>
      <c r="M5" s="421"/>
      <c r="N5" s="421"/>
      <c r="O5" s="421"/>
      <c r="P5" s="421"/>
      <c r="Q5" s="421"/>
      <c r="R5" s="421"/>
      <c r="S5" s="421"/>
      <c r="T5" s="421"/>
      <c r="U5" s="421"/>
    </row>
    <row r="6" spans="2:22" ht="26" customHeight="1" thickBot="1">
      <c r="B6" s="422" t="s">
        <v>74</v>
      </c>
      <c r="C6" s="423" t="s">
        <v>0</v>
      </c>
      <c r="D6" s="423" t="s">
        <v>667</v>
      </c>
      <c r="E6" s="423"/>
      <c r="F6" s="423"/>
      <c r="G6" s="423"/>
      <c r="H6" s="424" t="s">
        <v>485</v>
      </c>
      <c r="I6" s="425"/>
      <c r="J6" s="423" t="s">
        <v>22</v>
      </c>
    </row>
    <row r="7" spans="2:22" s="3" customFormat="1" ht="32" customHeight="1" thickBot="1">
      <c r="B7" s="422"/>
      <c r="C7" s="423"/>
      <c r="D7" s="199" t="s">
        <v>663</v>
      </c>
      <c r="E7" s="199" t="s">
        <v>668</v>
      </c>
      <c r="F7" s="199" t="s">
        <v>658</v>
      </c>
      <c r="G7" s="199" t="s">
        <v>92</v>
      </c>
      <c r="H7" s="199" t="s">
        <v>663</v>
      </c>
      <c r="I7" s="199" t="s">
        <v>8</v>
      </c>
      <c r="J7" s="423"/>
      <c r="M7" s="199" t="s">
        <v>38</v>
      </c>
      <c r="N7" s="199" t="s">
        <v>61</v>
      </c>
      <c r="P7" s="254" t="s">
        <v>167</v>
      </c>
      <c r="Q7" s="254" t="s">
        <v>642</v>
      </c>
      <c r="R7" s="254" t="s">
        <v>643</v>
      </c>
      <c r="S7" s="255" t="s">
        <v>649</v>
      </c>
      <c r="T7" s="255" t="s">
        <v>650</v>
      </c>
      <c r="U7" s="254" t="s">
        <v>364</v>
      </c>
      <c r="V7" s="254" t="s">
        <v>657</v>
      </c>
    </row>
    <row r="8" spans="2:22" ht="14" thickBot="1">
      <c r="B8" s="5">
        <f t="shared" ref="B8:B68" si="0">B9-1</f>
        <v>42380</v>
      </c>
      <c r="C8" s="6" t="s">
        <v>1</v>
      </c>
      <c r="D8" s="6">
        <v>0</v>
      </c>
      <c r="E8" s="6"/>
      <c r="F8" s="6"/>
      <c r="G8" s="6"/>
      <c r="H8" s="6"/>
      <c r="I8" s="6" t="s">
        <v>9</v>
      </c>
      <c r="J8" s="426" t="s">
        <v>23</v>
      </c>
      <c r="M8" s="252" t="s">
        <v>39</v>
      </c>
      <c r="N8" s="252" t="s">
        <v>62</v>
      </c>
      <c r="P8" s="252" t="s">
        <v>644</v>
      </c>
      <c r="Q8" s="256">
        <v>13.33</v>
      </c>
      <c r="R8" s="4" t="s">
        <v>647</v>
      </c>
      <c r="S8" s="190"/>
      <c r="T8" s="190"/>
      <c r="U8" s="190">
        <f>Q8/T11*100</f>
        <v>98.46022727272728</v>
      </c>
      <c r="V8" s="257">
        <v>2.9861111111111113E-2</v>
      </c>
    </row>
    <row r="9" spans="2:22" ht="14" thickBot="1">
      <c r="B9" s="5">
        <f t="shared" si="0"/>
        <v>42381</v>
      </c>
      <c r="C9" s="6" t="s">
        <v>2</v>
      </c>
      <c r="D9" s="6" t="s">
        <v>664</v>
      </c>
      <c r="E9" s="6" t="s">
        <v>669</v>
      </c>
      <c r="F9" s="6" t="s">
        <v>670</v>
      </c>
      <c r="G9" s="6" t="s">
        <v>670</v>
      </c>
      <c r="H9" s="6"/>
      <c r="I9" s="6" t="s">
        <v>10</v>
      </c>
      <c r="J9" s="426"/>
      <c r="M9" s="252" t="s">
        <v>40</v>
      </c>
      <c r="N9" s="252" t="s">
        <v>62</v>
      </c>
      <c r="P9" s="252" t="s">
        <v>645</v>
      </c>
      <c r="Q9" s="256">
        <v>12</v>
      </c>
      <c r="R9" s="4" t="s">
        <v>646</v>
      </c>
      <c r="S9" s="190"/>
      <c r="T9" s="190"/>
      <c r="U9" s="190">
        <f>Q9/T12*100</f>
        <v>85.714285714285694</v>
      </c>
      <c r="V9" s="257">
        <v>7.3263888888888892E-2</v>
      </c>
    </row>
    <row r="10" spans="2:22" ht="14" thickBot="1">
      <c r="B10" s="5">
        <f t="shared" si="0"/>
        <v>42382</v>
      </c>
      <c r="C10" s="7" t="s">
        <v>3</v>
      </c>
      <c r="D10" s="7"/>
      <c r="E10" s="7"/>
      <c r="F10" s="7"/>
      <c r="G10" s="7"/>
      <c r="H10" s="7"/>
      <c r="I10" s="7" t="s">
        <v>11</v>
      </c>
      <c r="J10" s="426"/>
      <c r="M10" s="252" t="s">
        <v>41</v>
      </c>
      <c r="N10" s="252" t="s">
        <v>63</v>
      </c>
      <c r="P10" s="252"/>
      <c r="Q10" s="252"/>
      <c r="R10" s="28"/>
      <c r="S10" s="190"/>
      <c r="T10" s="190"/>
      <c r="U10" s="190"/>
      <c r="V10" s="258">
        <v>0.15625</v>
      </c>
    </row>
    <row r="11" spans="2:22" ht="14" thickBot="1">
      <c r="B11" s="5">
        <f t="shared" si="0"/>
        <v>42383</v>
      </c>
      <c r="C11" s="6" t="s">
        <v>4</v>
      </c>
      <c r="D11" s="6"/>
      <c r="E11" s="6"/>
      <c r="F11" s="6"/>
      <c r="G11" s="6"/>
      <c r="H11" s="6"/>
      <c r="I11" s="6" t="s">
        <v>12</v>
      </c>
      <c r="J11" s="426"/>
      <c r="M11" s="252" t="s">
        <v>42</v>
      </c>
      <c r="N11" s="252" t="s">
        <v>64</v>
      </c>
      <c r="P11" s="252" t="s">
        <v>648</v>
      </c>
      <c r="Q11" s="256">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426"/>
      <c r="M12" s="252" t="s">
        <v>43</v>
      </c>
      <c r="N12" s="252" t="s">
        <v>65</v>
      </c>
      <c r="P12" s="252" t="s">
        <v>651</v>
      </c>
      <c r="Q12" s="256">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426"/>
      <c r="M13" s="252" t="s">
        <v>44</v>
      </c>
      <c r="N13" s="252" t="s">
        <v>64</v>
      </c>
      <c r="P13" s="252" t="s">
        <v>653</v>
      </c>
      <c r="Q13" s="252">
        <f>T13*0.75</f>
        <v>12</v>
      </c>
      <c r="R13" s="28"/>
      <c r="S13" s="190"/>
      <c r="T13" s="256">
        <v>16</v>
      </c>
      <c r="U13" s="190"/>
      <c r="V13" s="28"/>
    </row>
    <row r="14" spans="2:22" ht="14" thickBot="1">
      <c r="B14" s="5">
        <f t="shared" si="0"/>
        <v>42386</v>
      </c>
      <c r="C14" s="7" t="s">
        <v>7</v>
      </c>
      <c r="D14" s="7"/>
      <c r="E14" s="7"/>
      <c r="F14" s="7"/>
      <c r="G14" s="7"/>
      <c r="H14" s="7"/>
      <c r="I14" s="7" t="s">
        <v>14</v>
      </c>
      <c r="J14" s="426"/>
      <c r="M14" s="252" t="s">
        <v>45</v>
      </c>
      <c r="N14" s="252" t="s">
        <v>65</v>
      </c>
      <c r="P14" s="252" t="s">
        <v>654</v>
      </c>
      <c r="Q14" s="190">
        <f>T14*0.7</f>
        <v>11.2</v>
      </c>
      <c r="R14" s="24"/>
      <c r="S14" s="24"/>
      <c r="T14" s="256">
        <v>16</v>
      </c>
      <c r="U14" s="24"/>
      <c r="V14" s="24"/>
    </row>
    <row r="15" spans="2:22" ht="13" customHeight="1" thickBot="1">
      <c r="B15" s="5">
        <f t="shared" si="0"/>
        <v>42387</v>
      </c>
      <c r="C15" s="6" t="s">
        <v>1</v>
      </c>
      <c r="G15" s="6"/>
      <c r="H15" s="6"/>
      <c r="I15" s="6" t="s">
        <v>9</v>
      </c>
      <c r="J15" s="426" t="s">
        <v>24</v>
      </c>
      <c r="M15" s="252" t="s">
        <v>46</v>
      </c>
      <c r="N15" s="259"/>
      <c r="P15" s="252" t="s">
        <v>655</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426"/>
      <c r="M16" s="252" t="s">
        <v>47</v>
      </c>
      <c r="N16" s="252" t="s">
        <v>62</v>
      </c>
      <c r="P16" s="252" t="s">
        <v>656</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426"/>
      <c r="M17" s="427" t="s">
        <v>48</v>
      </c>
      <c r="N17" s="427"/>
      <c r="P17" s="24"/>
      <c r="Q17" s="24"/>
      <c r="R17" s="24"/>
      <c r="S17" s="24"/>
      <c r="T17" s="24"/>
      <c r="U17" s="24"/>
      <c r="V17" s="24"/>
    </row>
    <row r="18" spans="2:22" ht="14" thickBot="1">
      <c r="B18" s="5">
        <f t="shared" si="0"/>
        <v>42390</v>
      </c>
      <c r="C18" s="6" t="s">
        <v>4</v>
      </c>
      <c r="D18" s="6"/>
      <c r="E18" s="6"/>
      <c r="F18" s="6"/>
      <c r="G18" s="6"/>
      <c r="H18" s="6"/>
      <c r="I18" s="6" t="s">
        <v>12</v>
      </c>
      <c r="J18" s="426"/>
      <c r="M18" s="252" t="s">
        <v>49</v>
      </c>
      <c r="N18" s="260" t="s">
        <v>66</v>
      </c>
      <c r="P18" s="24"/>
      <c r="Q18" s="24"/>
      <c r="R18" s="24"/>
      <c r="S18" s="24"/>
      <c r="T18" s="24"/>
      <c r="U18" s="24"/>
      <c r="V18" s="24"/>
    </row>
    <row r="19" spans="2:22" ht="14" thickBot="1">
      <c r="B19" s="5">
        <f t="shared" si="0"/>
        <v>42391</v>
      </c>
      <c r="C19" s="6" t="s">
        <v>5</v>
      </c>
      <c r="D19" s="6"/>
      <c r="E19" s="6"/>
      <c r="F19" s="6"/>
      <c r="G19" s="6"/>
      <c r="H19" s="6"/>
      <c r="I19" s="6" t="s">
        <v>9</v>
      </c>
      <c r="J19" s="426"/>
      <c r="M19" s="252" t="s">
        <v>50</v>
      </c>
      <c r="N19" s="260" t="s">
        <v>67</v>
      </c>
    </row>
    <row r="20" spans="2:22" ht="14" thickBot="1">
      <c r="B20" s="5">
        <f t="shared" si="0"/>
        <v>42392</v>
      </c>
      <c r="C20" s="8" t="s">
        <v>6</v>
      </c>
      <c r="D20" s="252"/>
      <c r="E20" s="252"/>
      <c r="F20" s="252"/>
      <c r="G20" s="252"/>
      <c r="H20" s="252"/>
      <c r="I20" s="8" t="s">
        <v>13</v>
      </c>
      <c r="J20" s="426"/>
      <c r="M20" s="252" t="s">
        <v>51</v>
      </c>
      <c r="N20" s="260" t="s">
        <v>68</v>
      </c>
    </row>
    <row r="21" spans="2:22" ht="14" thickBot="1">
      <c r="B21" s="5">
        <f t="shared" si="0"/>
        <v>42393</v>
      </c>
      <c r="C21" s="7" t="s">
        <v>7</v>
      </c>
      <c r="D21" s="7"/>
      <c r="E21" s="7"/>
      <c r="F21" s="7"/>
      <c r="G21" s="7"/>
      <c r="H21" s="7"/>
      <c r="I21" s="7" t="s">
        <v>14</v>
      </c>
      <c r="J21" s="426"/>
      <c r="M21" s="427" t="s">
        <v>52</v>
      </c>
      <c r="N21" s="427"/>
      <c r="P21" s="254" t="s">
        <v>658</v>
      </c>
      <c r="Q21" s="254" t="s">
        <v>642</v>
      </c>
      <c r="R21" s="254" t="s">
        <v>643</v>
      </c>
    </row>
    <row r="22" spans="2:22" ht="14" thickBot="1">
      <c r="B22" s="5">
        <f t="shared" si="0"/>
        <v>42394</v>
      </c>
      <c r="C22" s="6" t="s">
        <v>1</v>
      </c>
      <c r="D22" s="6"/>
      <c r="E22" s="6"/>
      <c r="F22" s="6"/>
      <c r="G22" s="6"/>
      <c r="H22" s="6"/>
      <c r="I22" s="6" t="s">
        <v>9</v>
      </c>
      <c r="J22" s="426" t="s">
        <v>25</v>
      </c>
      <c r="M22" s="252" t="s">
        <v>53</v>
      </c>
      <c r="N22" s="252" t="s">
        <v>69</v>
      </c>
      <c r="P22" s="252" t="s">
        <v>179</v>
      </c>
      <c r="Q22" s="256">
        <v>16</v>
      </c>
      <c r="R22" s="4" t="s">
        <v>659</v>
      </c>
    </row>
    <row r="23" spans="2:22" ht="14" thickBot="1">
      <c r="B23" s="5">
        <f t="shared" si="0"/>
        <v>42395</v>
      </c>
      <c r="C23" s="6" t="s">
        <v>2</v>
      </c>
      <c r="D23" s="6" t="str">
        <f>D9</f>
        <v>1h15</v>
      </c>
      <c r="E23" s="6"/>
      <c r="F23" s="6"/>
      <c r="G23" s="6"/>
      <c r="H23" s="6"/>
      <c r="I23" s="6" t="s">
        <v>16</v>
      </c>
      <c r="J23" s="426"/>
      <c r="M23" s="252" t="s">
        <v>54</v>
      </c>
      <c r="N23" s="252" t="s">
        <v>69</v>
      </c>
      <c r="P23" s="252" t="s">
        <v>644</v>
      </c>
      <c r="Q23" s="256">
        <v>13.33</v>
      </c>
      <c r="R23" s="4" t="s">
        <v>647</v>
      </c>
    </row>
    <row r="24" spans="2:22" ht="14" thickBot="1">
      <c r="B24" s="5">
        <f t="shared" si="0"/>
        <v>42396</v>
      </c>
      <c r="C24" s="7" t="s">
        <v>3</v>
      </c>
      <c r="D24" s="7"/>
      <c r="E24" s="7"/>
      <c r="F24" s="7"/>
      <c r="G24" s="7"/>
      <c r="H24" s="7"/>
      <c r="I24" s="7" t="s">
        <v>11</v>
      </c>
      <c r="J24" s="426"/>
      <c r="M24" s="252" t="s">
        <v>55</v>
      </c>
      <c r="N24" s="252" t="s">
        <v>70</v>
      </c>
      <c r="P24" s="252" t="s">
        <v>645</v>
      </c>
      <c r="Q24" s="256">
        <v>12</v>
      </c>
      <c r="R24" s="4" t="s">
        <v>646</v>
      </c>
    </row>
    <row r="25" spans="2:22" ht="14" thickBot="1">
      <c r="B25" s="5">
        <f t="shared" si="0"/>
        <v>42397</v>
      </c>
      <c r="C25" s="6" t="s">
        <v>4</v>
      </c>
      <c r="D25" s="6"/>
      <c r="E25" s="6"/>
      <c r="F25" s="6"/>
      <c r="G25" s="6"/>
      <c r="H25" s="6"/>
      <c r="I25" s="6" t="s">
        <v>12</v>
      </c>
      <c r="J25" s="426"/>
      <c r="M25" s="252" t="s">
        <v>56</v>
      </c>
      <c r="N25" s="252" t="s">
        <v>71</v>
      </c>
      <c r="P25" s="252" t="s">
        <v>648</v>
      </c>
      <c r="Q25" s="256">
        <v>9</v>
      </c>
      <c r="R25" s="4" t="s">
        <v>662</v>
      </c>
    </row>
    <row r="26" spans="2:22" ht="14" thickBot="1">
      <c r="B26" s="5">
        <f t="shared" si="0"/>
        <v>42398</v>
      </c>
      <c r="C26" s="6" t="s">
        <v>5</v>
      </c>
      <c r="D26" s="6"/>
      <c r="E26" s="6"/>
      <c r="F26" s="6"/>
      <c r="G26" s="6"/>
      <c r="H26" s="6"/>
      <c r="I26" s="6" t="s">
        <v>9</v>
      </c>
      <c r="J26" s="426"/>
      <c r="M26" s="252" t="s">
        <v>57</v>
      </c>
      <c r="N26" s="252" t="s">
        <v>70</v>
      </c>
      <c r="P26" s="252" t="s">
        <v>651</v>
      </c>
      <c r="Q26" s="256">
        <v>10</v>
      </c>
      <c r="R26" s="4" t="s">
        <v>660</v>
      </c>
    </row>
    <row r="27" spans="2:22" ht="14" thickBot="1">
      <c r="B27" s="5">
        <f t="shared" si="0"/>
        <v>42399</v>
      </c>
      <c r="C27" s="6" t="s">
        <v>6</v>
      </c>
      <c r="D27" s="6"/>
      <c r="E27" s="6"/>
      <c r="F27" s="6"/>
      <c r="G27" s="6"/>
      <c r="H27" s="6"/>
      <c r="I27" s="6" t="s">
        <v>13</v>
      </c>
      <c r="J27" s="426"/>
      <c r="M27" s="252" t="s">
        <v>58</v>
      </c>
      <c r="N27" s="252" t="s">
        <v>70</v>
      </c>
      <c r="P27" s="252" t="s">
        <v>640</v>
      </c>
      <c r="Q27" s="256">
        <v>11.25</v>
      </c>
      <c r="R27" s="4" t="s">
        <v>661</v>
      </c>
    </row>
    <row r="28" spans="2:22" ht="14" thickBot="1">
      <c r="B28" s="5">
        <f t="shared" si="0"/>
        <v>42400</v>
      </c>
      <c r="C28" s="7" t="s">
        <v>7</v>
      </c>
      <c r="D28" s="7"/>
      <c r="E28" s="7"/>
      <c r="F28" s="7"/>
      <c r="G28" s="7"/>
      <c r="H28" s="7"/>
      <c r="I28" s="7" t="s">
        <v>17</v>
      </c>
      <c r="J28" s="426"/>
      <c r="M28" s="252" t="s">
        <v>59</v>
      </c>
      <c r="N28" s="252" t="s">
        <v>72</v>
      </c>
    </row>
    <row r="29" spans="2:22" ht="14" thickBot="1">
      <c r="B29" s="5">
        <f t="shared" si="0"/>
        <v>42401</v>
      </c>
      <c r="C29" s="6" t="s">
        <v>1</v>
      </c>
      <c r="G29" s="6"/>
      <c r="H29" s="6"/>
      <c r="I29" s="6" t="s">
        <v>9</v>
      </c>
      <c r="J29" s="426" t="s">
        <v>26</v>
      </c>
      <c r="M29" s="252" t="s">
        <v>60</v>
      </c>
      <c r="N29" s="252" t="s">
        <v>73</v>
      </c>
    </row>
    <row r="30" spans="2:22" ht="14" thickBot="1">
      <c r="B30" s="5">
        <f t="shared" si="0"/>
        <v>42402</v>
      </c>
      <c r="C30" s="7" t="s">
        <v>2</v>
      </c>
      <c r="D30" s="6" t="s">
        <v>665</v>
      </c>
      <c r="E30" s="6"/>
      <c r="F30" s="6"/>
      <c r="G30" s="7"/>
      <c r="H30" s="7"/>
      <c r="I30" s="7" t="s">
        <v>11</v>
      </c>
      <c r="J30" s="426"/>
    </row>
    <row r="31" spans="2:22" ht="14" thickBot="1">
      <c r="B31" s="5">
        <f t="shared" si="0"/>
        <v>42403</v>
      </c>
      <c r="C31" s="6" t="s">
        <v>3</v>
      </c>
      <c r="D31" s="6"/>
      <c r="E31" s="6"/>
      <c r="F31" s="6"/>
      <c r="G31" s="6"/>
      <c r="H31" s="6"/>
      <c r="I31" s="6" t="s">
        <v>18</v>
      </c>
      <c r="J31" s="426"/>
    </row>
    <row r="32" spans="2:22" ht="14" thickBot="1">
      <c r="B32" s="5">
        <f t="shared" si="0"/>
        <v>42404</v>
      </c>
      <c r="C32" s="6" t="s">
        <v>4</v>
      </c>
      <c r="D32" s="6"/>
      <c r="E32" s="6"/>
      <c r="F32" s="6"/>
      <c r="G32" s="6"/>
      <c r="H32" s="6"/>
      <c r="I32" s="6" t="s">
        <v>11</v>
      </c>
      <c r="J32" s="426"/>
    </row>
    <row r="33" spans="2:10" ht="14" thickBot="1">
      <c r="B33" s="5">
        <f t="shared" si="0"/>
        <v>42405</v>
      </c>
      <c r="C33" s="6" t="s">
        <v>5</v>
      </c>
      <c r="D33" s="6"/>
      <c r="E33" s="6"/>
      <c r="F33" s="6"/>
      <c r="G33" s="6"/>
      <c r="H33" s="6"/>
      <c r="I33" s="6" t="s">
        <v>9</v>
      </c>
      <c r="J33" s="426"/>
    </row>
    <row r="34" spans="2:10" ht="14" thickBot="1">
      <c r="B34" s="5">
        <f t="shared" si="0"/>
        <v>42406</v>
      </c>
      <c r="C34" s="7" t="s">
        <v>6</v>
      </c>
      <c r="D34" s="7"/>
      <c r="E34" s="7"/>
      <c r="F34" s="7"/>
      <c r="G34" s="7"/>
      <c r="H34" s="7"/>
      <c r="I34" s="7" t="s">
        <v>19</v>
      </c>
      <c r="J34" s="426"/>
    </row>
    <row r="35" spans="2:10" ht="14" thickBot="1">
      <c r="B35" s="5">
        <f t="shared" si="0"/>
        <v>42407</v>
      </c>
      <c r="C35" s="7" t="s">
        <v>7</v>
      </c>
      <c r="D35" s="7"/>
      <c r="E35" s="7"/>
      <c r="F35" s="7"/>
      <c r="G35" s="7"/>
      <c r="H35" s="7"/>
      <c r="I35" s="7" t="s">
        <v>11</v>
      </c>
      <c r="J35" s="426"/>
    </row>
    <row r="36" spans="2:10" ht="14" thickBot="1">
      <c r="B36" s="5">
        <f t="shared" si="0"/>
        <v>42408</v>
      </c>
      <c r="C36" s="6" t="s">
        <v>1</v>
      </c>
      <c r="G36" s="6"/>
      <c r="H36" s="6"/>
      <c r="I36" s="6" t="s">
        <v>9</v>
      </c>
      <c r="J36" s="426" t="s">
        <v>27</v>
      </c>
    </row>
    <row r="37" spans="2:10" ht="14" thickBot="1">
      <c r="B37" s="5">
        <f t="shared" si="0"/>
        <v>42409</v>
      </c>
      <c r="C37" s="6" t="s">
        <v>2</v>
      </c>
      <c r="D37" s="6" t="str">
        <f>D9</f>
        <v>1h15</v>
      </c>
      <c r="E37" s="6"/>
      <c r="F37" s="6"/>
      <c r="G37" s="6"/>
      <c r="H37" s="6"/>
      <c r="I37" s="6" t="s">
        <v>20</v>
      </c>
      <c r="J37" s="426"/>
    </row>
    <row r="38" spans="2:10" ht="14" thickBot="1">
      <c r="B38" s="5">
        <f t="shared" si="0"/>
        <v>42410</v>
      </c>
      <c r="C38" s="7" t="s">
        <v>3</v>
      </c>
      <c r="D38" s="7"/>
      <c r="E38" s="7"/>
      <c r="F38" s="7"/>
      <c r="G38" s="7"/>
      <c r="H38" s="7"/>
      <c r="I38" s="7" t="s">
        <v>11</v>
      </c>
      <c r="J38" s="426"/>
    </row>
    <row r="39" spans="2:10" ht="14" thickBot="1">
      <c r="B39" s="5">
        <f t="shared" si="0"/>
        <v>42411</v>
      </c>
      <c r="C39" s="6" t="s">
        <v>4</v>
      </c>
      <c r="D39" s="6"/>
      <c r="E39" s="6"/>
      <c r="F39" s="6"/>
      <c r="G39" s="6"/>
      <c r="H39" s="6"/>
      <c r="I39" s="6" t="s">
        <v>13</v>
      </c>
      <c r="J39" s="426"/>
    </row>
    <row r="40" spans="2:10" ht="14" thickBot="1">
      <c r="B40" s="5">
        <f t="shared" si="0"/>
        <v>42412</v>
      </c>
      <c r="C40" s="6" t="s">
        <v>5</v>
      </c>
      <c r="D40" s="6"/>
      <c r="E40" s="6"/>
      <c r="F40" s="6"/>
      <c r="G40" s="6"/>
      <c r="H40" s="6"/>
      <c r="I40" s="6" t="s">
        <v>9</v>
      </c>
      <c r="J40" s="426"/>
    </row>
    <row r="41" spans="2:10" ht="14" thickBot="1">
      <c r="B41" s="5">
        <f t="shared" si="0"/>
        <v>42413</v>
      </c>
      <c r="C41" s="6" t="s">
        <v>6</v>
      </c>
      <c r="D41" s="6"/>
      <c r="E41" s="6"/>
      <c r="F41" s="6"/>
      <c r="G41" s="6"/>
      <c r="H41" s="6"/>
      <c r="I41" s="6" t="s">
        <v>21</v>
      </c>
      <c r="J41" s="426"/>
    </row>
    <row r="42" spans="2:10" ht="14" thickBot="1">
      <c r="B42" s="5">
        <f t="shared" si="0"/>
        <v>42414</v>
      </c>
      <c r="C42" s="7" t="s">
        <v>7</v>
      </c>
      <c r="D42" s="7"/>
      <c r="E42" s="7"/>
      <c r="F42" s="7"/>
      <c r="G42" s="7"/>
      <c r="H42" s="7"/>
      <c r="I42" s="7" t="s">
        <v>14</v>
      </c>
      <c r="J42" s="426"/>
    </row>
    <row r="43" spans="2:10" ht="14" thickBot="1">
      <c r="B43" s="5">
        <f t="shared" si="0"/>
        <v>42415</v>
      </c>
      <c r="C43" s="6" t="s">
        <v>1</v>
      </c>
      <c r="G43" s="6"/>
      <c r="H43" s="6"/>
      <c r="I43" s="6" t="s">
        <v>9</v>
      </c>
      <c r="J43" s="426" t="s">
        <v>34</v>
      </c>
    </row>
    <row r="44" spans="2:10" ht="14" thickBot="1">
      <c r="B44" s="5">
        <f t="shared" si="0"/>
        <v>42416</v>
      </c>
      <c r="C44" s="6" t="s">
        <v>2</v>
      </c>
      <c r="D44" s="6" t="str">
        <f>D9</f>
        <v>1h15</v>
      </c>
      <c r="E44" s="6"/>
      <c r="F44" s="6"/>
      <c r="G44" s="6"/>
      <c r="H44" s="6"/>
      <c r="I44" s="6" t="s">
        <v>13</v>
      </c>
      <c r="J44" s="426"/>
    </row>
    <row r="45" spans="2:10" ht="14" thickBot="1">
      <c r="B45" s="5">
        <f t="shared" si="0"/>
        <v>42417</v>
      </c>
      <c r="C45" s="7" t="s">
        <v>3</v>
      </c>
      <c r="D45" s="7"/>
      <c r="E45" s="7"/>
      <c r="F45" s="7"/>
      <c r="G45" s="7"/>
      <c r="H45" s="7"/>
      <c r="I45" s="7" t="s">
        <v>11</v>
      </c>
      <c r="J45" s="426"/>
    </row>
    <row r="46" spans="2:10" ht="14" thickBot="1">
      <c r="B46" s="5">
        <f t="shared" si="0"/>
        <v>42418</v>
      </c>
      <c r="C46" s="6" t="s">
        <v>4</v>
      </c>
      <c r="D46" s="6"/>
      <c r="E46" s="6"/>
      <c r="F46" s="6"/>
      <c r="G46" s="6"/>
      <c r="H46" s="6"/>
      <c r="I46" s="6" t="s">
        <v>21</v>
      </c>
      <c r="J46" s="426"/>
    </row>
    <row r="47" spans="2:10" ht="14" thickBot="1">
      <c r="B47" s="5">
        <f t="shared" si="0"/>
        <v>42419</v>
      </c>
      <c r="C47" s="6" t="s">
        <v>5</v>
      </c>
      <c r="D47" s="6"/>
      <c r="E47" s="6"/>
      <c r="F47" s="6"/>
      <c r="G47" s="6"/>
      <c r="H47" s="6"/>
      <c r="I47" s="6" t="s">
        <v>9</v>
      </c>
      <c r="J47" s="426"/>
    </row>
    <row r="48" spans="2:10" ht="14" thickBot="1">
      <c r="B48" s="5">
        <f t="shared" si="0"/>
        <v>42420</v>
      </c>
      <c r="C48" s="6" t="s">
        <v>6</v>
      </c>
      <c r="D48" s="6"/>
      <c r="E48" s="6"/>
      <c r="F48" s="6"/>
      <c r="G48" s="6"/>
      <c r="H48" s="6"/>
      <c r="I48" s="6" t="s">
        <v>13</v>
      </c>
      <c r="J48" s="426"/>
    </row>
    <row r="49" spans="2:10" ht="14" thickBot="1">
      <c r="B49" s="5">
        <f t="shared" si="0"/>
        <v>42421</v>
      </c>
      <c r="C49" s="7" t="s">
        <v>7</v>
      </c>
      <c r="D49" s="7"/>
      <c r="E49" s="7"/>
      <c r="F49" s="7"/>
      <c r="G49" s="7"/>
      <c r="H49" s="7"/>
      <c r="I49" s="7" t="s">
        <v>14</v>
      </c>
      <c r="J49" s="426"/>
    </row>
    <row r="50" spans="2:10" ht="14" thickBot="1">
      <c r="B50" s="5">
        <f t="shared" si="0"/>
        <v>42422</v>
      </c>
      <c r="C50" s="6" t="s">
        <v>1</v>
      </c>
      <c r="D50" s="6"/>
      <c r="E50" s="6"/>
      <c r="F50" s="6"/>
      <c r="G50" s="6"/>
      <c r="H50" s="6"/>
      <c r="I50" s="6" t="s">
        <v>9</v>
      </c>
      <c r="J50" s="426" t="s">
        <v>35</v>
      </c>
    </row>
    <row r="51" spans="2:10" ht="14" thickBot="1">
      <c r="B51" s="5">
        <f t="shared" si="0"/>
        <v>42423</v>
      </c>
      <c r="C51" s="6" t="s">
        <v>2</v>
      </c>
      <c r="D51" s="6" t="s">
        <v>664</v>
      </c>
      <c r="E51" s="6"/>
      <c r="F51" s="6"/>
      <c r="G51" s="6"/>
      <c r="H51" s="6"/>
      <c r="I51" s="6" t="s">
        <v>28</v>
      </c>
      <c r="J51" s="426"/>
    </row>
    <row r="52" spans="2:10" ht="14" thickBot="1">
      <c r="B52" s="400">
        <f t="shared" si="0"/>
        <v>42424</v>
      </c>
      <c r="C52" s="401" t="s">
        <v>3</v>
      </c>
      <c r="D52" s="401" t="s">
        <v>687</v>
      </c>
      <c r="E52" s="401" t="s">
        <v>1560</v>
      </c>
      <c r="F52" s="401" t="s">
        <v>1558</v>
      </c>
      <c r="G52" s="7"/>
      <c r="H52" s="7"/>
      <c r="I52" s="7" t="s">
        <v>11</v>
      </c>
      <c r="J52" s="426"/>
    </row>
    <row r="53" spans="2:10" ht="14" thickBot="1">
      <c r="B53" s="5">
        <f t="shared" si="0"/>
        <v>42425</v>
      </c>
      <c r="C53" s="6" t="s">
        <v>4</v>
      </c>
      <c r="D53" s="6"/>
      <c r="E53" s="6"/>
      <c r="F53" s="6" t="s">
        <v>1557</v>
      </c>
      <c r="G53" s="6"/>
      <c r="H53" s="6"/>
      <c r="I53" s="6" t="s">
        <v>13</v>
      </c>
      <c r="J53" s="426"/>
    </row>
    <row r="54" spans="2:10" ht="14" thickBot="1">
      <c r="B54" s="5">
        <f t="shared" si="0"/>
        <v>42426</v>
      </c>
      <c r="C54" s="6" t="s">
        <v>5</v>
      </c>
      <c r="D54" s="6"/>
      <c r="E54" s="6"/>
      <c r="F54" s="398" t="s">
        <v>420</v>
      </c>
      <c r="G54" s="6"/>
      <c r="H54" s="6"/>
      <c r="I54" s="6" t="s">
        <v>9</v>
      </c>
      <c r="J54" s="426"/>
    </row>
    <row r="55" spans="2:10" ht="14" thickBot="1">
      <c r="B55" s="5">
        <f t="shared" si="0"/>
        <v>42427</v>
      </c>
      <c r="C55" s="6" t="s">
        <v>6</v>
      </c>
      <c r="D55" s="6"/>
      <c r="E55" s="6"/>
      <c r="F55" s="398" t="s">
        <v>1547</v>
      </c>
      <c r="G55" s="6"/>
      <c r="H55" s="6"/>
      <c r="I55" s="6" t="s">
        <v>29</v>
      </c>
      <c r="J55" s="426"/>
    </row>
    <row r="56" spans="2:10" ht="14" thickBot="1">
      <c r="B56" s="5">
        <f t="shared" si="0"/>
        <v>42428</v>
      </c>
      <c r="C56" s="7" t="s">
        <v>7</v>
      </c>
      <c r="D56" s="7" t="s">
        <v>665</v>
      </c>
      <c r="E56" s="7" t="s">
        <v>1561</v>
      </c>
      <c r="F56" s="398" t="s">
        <v>1553</v>
      </c>
      <c r="G56" s="7"/>
      <c r="H56" s="7"/>
      <c r="I56" s="7" t="s">
        <v>17</v>
      </c>
      <c r="J56" s="426"/>
    </row>
    <row r="57" spans="2:10" ht="14" thickBot="1">
      <c r="B57" s="5">
        <f t="shared" si="0"/>
        <v>42429</v>
      </c>
      <c r="C57" s="6" t="s">
        <v>1</v>
      </c>
      <c r="F57" s="21" t="s">
        <v>1555</v>
      </c>
      <c r="G57" s="6"/>
      <c r="H57" s="6"/>
      <c r="I57" s="6" t="s">
        <v>9</v>
      </c>
      <c r="J57" s="426" t="s">
        <v>36</v>
      </c>
    </row>
    <row r="58" spans="2:10" ht="14" thickBot="1">
      <c r="B58" s="5">
        <f t="shared" si="0"/>
        <v>42430</v>
      </c>
      <c r="C58" s="7" t="s">
        <v>2</v>
      </c>
      <c r="D58" s="6" t="s">
        <v>664</v>
      </c>
      <c r="E58" s="6"/>
      <c r="F58" s="398" t="s">
        <v>1554</v>
      </c>
      <c r="G58" s="7"/>
      <c r="H58" s="7"/>
      <c r="I58" s="7" t="s">
        <v>11</v>
      </c>
      <c r="J58" s="426"/>
    </row>
    <row r="59" spans="2:10" ht="14" thickBot="1">
      <c r="B59" s="5">
        <f t="shared" si="0"/>
        <v>42431</v>
      </c>
      <c r="C59" s="6" t="s">
        <v>3</v>
      </c>
      <c r="D59" s="6" t="s">
        <v>664</v>
      </c>
      <c r="E59" s="6" t="s">
        <v>1562</v>
      </c>
      <c r="F59" s="398" t="s">
        <v>1549</v>
      </c>
      <c r="G59" s="6"/>
      <c r="H59" s="6"/>
      <c r="I59" s="6" t="s">
        <v>30</v>
      </c>
      <c r="J59" s="426"/>
    </row>
    <row r="60" spans="2:10" ht="14" thickBot="1">
      <c r="B60" s="5">
        <f t="shared" si="0"/>
        <v>42432</v>
      </c>
      <c r="C60" s="6" t="s">
        <v>4</v>
      </c>
      <c r="D60" s="6"/>
      <c r="E60" s="6"/>
      <c r="F60" s="398" t="s">
        <v>1548</v>
      </c>
      <c r="G60" s="6"/>
      <c r="H60" s="6"/>
      <c r="I60" s="6" t="s">
        <v>11</v>
      </c>
      <c r="J60" s="426"/>
    </row>
    <row r="61" spans="2:10" ht="14" thickBot="1">
      <c r="B61" s="5">
        <f t="shared" si="0"/>
        <v>42433</v>
      </c>
      <c r="C61" s="6" t="s">
        <v>5</v>
      </c>
      <c r="D61" s="6"/>
      <c r="E61" s="6"/>
      <c r="F61" s="398" t="s">
        <v>420</v>
      </c>
      <c r="G61" s="6"/>
      <c r="H61" s="6"/>
      <c r="I61" s="6" t="s">
        <v>9</v>
      </c>
      <c r="J61" s="426"/>
    </row>
    <row r="62" spans="2:10" ht="14" thickBot="1">
      <c r="B62" s="5">
        <f t="shared" si="0"/>
        <v>42434</v>
      </c>
      <c r="C62" s="6" t="s">
        <v>6</v>
      </c>
      <c r="D62" s="6" t="s">
        <v>665</v>
      </c>
      <c r="E62" s="6" t="s">
        <v>1561</v>
      </c>
      <c r="F62" s="398" t="s">
        <v>1553</v>
      </c>
      <c r="G62" s="6"/>
      <c r="H62" s="6"/>
      <c r="I62" s="6" t="s">
        <v>13</v>
      </c>
      <c r="J62" s="426"/>
    </row>
    <row r="63" spans="2:10" ht="14" thickBot="1">
      <c r="B63" s="5">
        <f t="shared" si="0"/>
        <v>42435</v>
      </c>
      <c r="C63" s="7" t="s">
        <v>7</v>
      </c>
      <c r="D63" s="7"/>
      <c r="E63" s="7"/>
      <c r="F63" s="398" t="s">
        <v>1552</v>
      </c>
      <c r="G63" s="7"/>
      <c r="H63" s="7"/>
      <c r="I63" s="7" t="s">
        <v>11</v>
      </c>
      <c r="J63" s="426"/>
    </row>
    <row r="64" spans="2:10" ht="14" thickBot="1">
      <c r="B64" s="5">
        <f t="shared" si="0"/>
        <v>42436</v>
      </c>
      <c r="C64" s="6" t="s">
        <v>1</v>
      </c>
      <c r="F64" s="21" t="s">
        <v>1546</v>
      </c>
      <c r="G64" s="6"/>
      <c r="H64" s="6"/>
      <c r="I64" s="6" t="s">
        <v>9</v>
      </c>
      <c r="J64" s="426" t="s">
        <v>37</v>
      </c>
    </row>
    <row r="65" spans="1:10" ht="14" thickBot="1">
      <c r="B65" s="5">
        <f t="shared" si="0"/>
        <v>42437</v>
      </c>
      <c r="C65" s="6" t="s">
        <v>2</v>
      </c>
      <c r="D65" s="6" t="s">
        <v>666</v>
      </c>
      <c r="E65" s="6"/>
      <c r="F65" s="398" t="s">
        <v>1551</v>
      </c>
      <c r="G65" s="6"/>
      <c r="H65" s="6"/>
      <c r="I65" s="6" t="s">
        <v>31</v>
      </c>
      <c r="J65" s="426"/>
    </row>
    <row r="66" spans="1:10" ht="14" thickBot="1">
      <c r="B66" s="5">
        <f t="shared" si="0"/>
        <v>42438</v>
      </c>
      <c r="C66" s="6" t="s">
        <v>3</v>
      </c>
      <c r="D66" s="6"/>
      <c r="E66" s="6"/>
      <c r="F66" s="398" t="s">
        <v>420</v>
      </c>
      <c r="G66" s="6"/>
      <c r="H66" s="6"/>
      <c r="I66" s="6" t="s">
        <v>11</v>
      </c>
      <c r="J66" s="426"/>
    </row>
    <row r="67" spans="1:10" ht="14" thickBot="1">
      <c r="B67" s="5">
        <f t="shared" si="0"/>
        <v>42439</v>
      </c>
      <c r="C67" s="6" t="s">
        <v>4</v>
      </c>
      <c r="D67" s="6"/>
      <c r="E67" s="6"/>
      <c r="F67" s="398" t="s">
        <v>1550</v>
      </c>
      <c r="G67" s="6"/>
      <c r="H67" s="6"/>
      <c r="I67" s="9" t="s">
        <v>32</v>
      </c>
      <c r="J67" s="426"/>
    </row>
    <row r="68" spans="1:10" ht="14" thickBot="1">
      <c r="B68" s="5">
        <f t="shared" si="0"/>
        <v>42440</v>
      </c>
      <c r="C68" s="6" t="s">
        <v>5</v>
      </c>
      <c r="D68" s="6"/>
      <c r="E68" s="6"/>
      <c r="F68" s="398" t="s">
        <v>1545</v>
      </c>
      <c r="G68" s="6"/>
      <c r="H68" s="6"/>
      <c r="I68" s="6" t="s">
        <v>9</v>
      </c>
      <c r="J68" s="426"/>
    </row>
    <row r="69" spans="1:10" ht="14" thickBot="1">
      <c r="B69" s="5">
        <f>B70-1</f>
        <v>42441</v>
      </c>
      <c r="C69" s="8" t="s">
        <v>6</v>
      </c>
      <c r="D69" s="252"/>
      <c r="E69" s="252"/>
      <c r="F69" s="398" t="s">
        <v>1556</v>
      </c>
      <c r="G69" s="252"/>
      <c r="H69" s="252"/>
      <c r="I69" s="10" t="s">
        <v>33</v>
      </c>
      <c r="J69" s="426"/>
    </row>
    <row r="70" spans="1:10" ht="14" thickBot="1">
      <c r="A70" s="2"/>
      <c r="B70" s="34">
        <v>42442</v>
      </c>
      <c r="C70" s="7" t="s">
        <v>7</v>
      </c>
      <c r="D70" s="7"/>
      <c r="E70" s="7"/>
      <c r="F70" s="398"/>
      <c r="G70" s="7"/>
      <c r="H70" s="7"/>
      <c r="I70" s="1" t="s">
        <v>640</v>
      </c>
      <c r="J70" s="426"/>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H1"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411" t="s">
        <v>165</v>
      </c>
      <c r="C2" s="412"/>
      <c r="D2" s="412"/>
      <c r="E2" s="412"/>
      <c r="F2" s="412"/>
      <c r="G2" s="412"/>
      <c r="H2" s="412"/>
      <c r="I2" s="412"/>
      <c r="J2" s="412"/>
      <c r="K2" s="412"/>
      <c r="L2" s="412"/>
      <c r="M2" s="412"/>
      <c r="N2" s="412"/>
      <c r="O2" s="412"/>
      <c r="P2" s="412"/>
      <c r="Q2" s="412"/>
      <c r="R2" s="412"/>
      <c r="S2" s="412"/>
      <c r="T2" s="412"/>
      <c r="U2" s="412"/>
      <c r="V2" s="413"/>
    </row>
    <row r="5" spans="2:27" ht="13" thickBot="1">
      <c r="B5" s="421" t="s">
        <v>652</v>
      </c>
      <c r="C5" s="421"/>
      <c r="D5" s="421"/>
      <c r="E5" s="421"/>
      <c r="F5" s="421"/>
      <c r="G5" s="421"/>
      <c r="H5" s="421"/>
      <c r="I5" s="421"/>
      <c r="J5" s="421"/>
      <c r="K5" s="421"/>
      <c r="L5" s="421"/>
      <c r="M5" s="421"/>
      <c r="N5" s="421"/>
      <c r="O5" s="421"/>
      <c r="P5" s="421"/>
      <c r="Q5" s="421"/>
      <c r="R5" s="421"/>
      <c r="S5" s="421"/>
      <c r="T5" s="421"/>
      <c r="U5" s="421"/>
      <c r="V5" s="421"/>
    </row>
    <row r="6" spans="2:27" ht="26" customHeight="1" thickBot="1">
      <c r="B6" s="422" t="s">
        <v>74</v>
      </c>
      <c r="C6" s="423" t="s">
        <v>0</v>
      </c>
      <c r="D6" s="423" t="s">
        <v>667</v>
      </c>
      <c r="E6" s="423"/>
      <c r="F6" s="423"/>
      <c r="G6" s="423"/>
      <c r="H6" s="423"/>
      <c r="I6" s="424" t="s">
        <v>485</v>
      </c>
      <c r="J6" s="425"/>
      <c r="K6" s="423" t="s">
        <v>22</v>
      </c>
    </row>
    <row r="7" spans="2:27" s="3" customFormat="1" ht="32" customHeight="1" thickBot="1">
      <c r="B7" s="422"/>
      <c r="C7" s="423"/>
      <c r="D7" s="269" t="s">
        <v>663</v>
      </c>
      <c r="E7" s="269" t="s">
        <v>668</v>
      </c>
      <c r="F7" s="269" t="s">
        <v>691</v>
      </c>
      <c r="G7" s="269" t="s">
        <v>692</v>
      </c>
      <c r="H7" s="269" t="s">
        <v>92</v>
      </c>
      <c r="I7" s="269" t="s">
        <v>663</v>
      </c>
      <c r="J7" s="269" t="s">
        <v>8</v>
      </c>
      <c r="K7" s="423"/>
      <c r="N7" s="269" t="s">
        <v>38</v>
      </c>
      <c r="O7" s="269" t="s">
        <v>61</v>
      </c>
      <c r="Q7" s="254" t="s">
        <v>167</v>
      </c>
      <c r="R7" s="254" t="s">
        <v>642</v>
      </c>
      <c r="S7" s="254" t="s">
        <v>643</v>
      </c>
      <c r="T7" s="255" t="s">
        <v>649</v>
      </c>
      <c r="U7" s="255" t="s">
        <v>650</v>
      </c>
      <c r="V7" s="254" t="s">
        <v>364</v>
      </c>
      <c r="W7" s="254" t="s">
        <v>657</v>
      </c>
      <c r="Z7" s="411" t="s">
        <v>694</v>
      </c>
      <c r="AA7" s="412"/>
    </row>
    <row r="8" spans="2:27" ht="14" thickBot="1">
      <c r="B8" s="5">
        <f t="shared" ref="B8:B68" si="0">B9-1</f>
        <v>42380</v>
      </c>
      <c r="C8" s="6" t="s">
        <v>1</v>
      </c>
      <c r="D8" s="6">
        <v>0</v>
      </c>
      <c r="E8" s="6"/>
      <c r="F8" s="6"/>
      <c r="G8" s="6"/>
      <c r="H8" s="6"/>
      <c r="I8" s="6"/>
      <c r="K8" s="426" t="s">
        <v>23</v>
      </c>
      <c r="N8" s="268" t="s">
        <v>39</v>
      </c>
      <c r="O8" s="268" t="s">
        <v>62</v>
      </c>
      <c r="Q8" s="268" t="s">
        <v>644</v>
      </c>
      <c r="R8" s="256">
        <v>13.33</v>
      </c>
      <c r="S8" s="4" t="s">
        <v>647</v>
      </c>
      <c r="T8" s="190"/>
      <c r="U8" s="190"/>
      <c r="V8" s="190">
        <f>R8/U11*100</f>
        <v>98.46022727272728</v>
      </c>
      <c r="W8" s="257">
        <v>2.9861111111111113E-2</v>
      </c>
      <c r="Z8" s="254" t="s">
        <v>695</v>
      </c>
      <c r="AA8" s="254" t="s">
        <v>78</v>
      </c>
    </row>
    <row r="9" spans="2:27" ht="14" thickBot="1">
      <c r="B9" s="5">
        <f t="shared" si="0"/>
        <v>42381</v>
      </c>
      <c r="C9" s="6" t="s">
        <v>2</v>
      </c>
      <c r="D9" s="6" t="s">
        <v>664</v>
      </c>
      <c r="E9" s="6"/>
      <c r="F9" s="6" t="s">
        <v>648</v>
      </c>
      <c r="G9" s="6"/>
      <c r="H9" s="6" t="s">
        <v>670</v>
      </c>
      <c r="I9" s="6"/>
      <c r="K9" s="426"/>
      <c r="N9" s="268" t="s">
        <v>40</v>
      </c>
      <c r="O9" s="268" t="s">
        <v>62</v>
      </c>
      <c r="Q9" s="268" t="s">
        <v>645</v>
      </c>
      <c r="R9" s="256">
        <v>12</v>
      </c>
      <c r="S9" s="4" t="s">
        <v>646</v>
      </c>
      <c r="T9" s="190"/>
      <c r="U9" s="190"/>
      <c r="V9" s="190">
        <f>R9/U12*100</f>
        <v>85.714285714285694</v>
      </c>
      <c r="W9" s="257">
        <v>7.3263888888888892E-2</v>
      </c>
      <c r="Z9" s="18" t="s">
        <v>696</v>
      </c>
      <c r="AA9" s="18" t="s">
        <v>699</v>
      </c>
    </row>
    <row r="10" spans="2:27" ht="14" thickBot="1">
      <c r="B10" s="5">
        <f t="shared" si="0"/>
        <v>42382</v>
      </c>
      <c r="C10" s="7" t="s">
        <v>3</v>
      </c>
      <c r="D10" s="7">
        <v>0</v>
      </c>
      <c r="E10" s="7"/>
      <c r="F10" s="7"/>
      <c r="G10" s="7"/>
      <c r="H10" s="7"/>
      <c r="I10" s="7"/>
      <c r="K10" s="426"/>
      <c r="N10" s="268" t="s">
        <v>41</v>
      </c>
      <c r="O10" s="268" t="s">
        <v>63</v>
      </c>
      <c r="Q10" s="268"/>
      <c r="R10" s="268"/>
      <c r="S10" s="28"/>
      <c r="T10" s="190"/>
      <c r="U10" s="190"/>
      <c r="V10" s="190"/>
      <c r="W10" s="258">
        <v>0.15625</v>
      </c>
      <c r="Z10" s="18" t="s">
        <v>260</v>
      </c>
      <c r="AA10" s="18" t="s">
        <v>698</v>
      </c>
    </row>
    <row r="11" spans="2:27" ht="14" thickBot="1">
      <c r="B11" s="5">
        <f t="shared" si="0"/>
        <v>42383</v>
      </c>
      <c r="C11" s="6" t="s">
        <v>4</v>
      </c>
      <c r="D11" s="7">
        <v>0</v>
      </c>
      <c r="E11" s="7" t="s">
        <v>688</v>
      </c>
      <c r="F11" s="7" t="s">
        <v>689</v>
      </c>
      <c r="G11" s="7" t="s">
        <v>693</v>
      </c>
      <c r="H11" s="7"/>
      <c r="I11" s="7"/>
      <c r="K11" s="426"/>
      <c r="N11" s="268" t="s">
        <v>42</v>
      </c>
      <c r="O11" s="268" t="s">
        <v>64</v>
      </c>
      <c r="Q11" s="268" t="s">
        <v>648</v>
      </c>
      <c r="R11" s="256">
        <v>8.8000000000000007</v>
      </c>
      <c r="S11" s="28"/>
      <c r="T11" s="190">
        <f>R11/0.7</f>
        <v>12.571428571428573</v>
      </c>
      <c r="U11" s="190">
        <f>R11/0.65</f>
        <v>13.538461538461538</v>
      </c>
      <c r="V11" s="190"/>
      <c r="W11" s="28"/>
      <c r="Z11" s="18" t="s">
        <v>697</v>
      </c>
      <c r="AA11" s="18" t="s">
        <v>700</v>
      </c>
    </row>
    <row r="12" spans="2:27" ht="14" thickBot="1">
      <c r="B12" s="5">
        <f t="shared" si="0"/>
        <v>42384</v>
      </c>
      <c r="C12" s="6" t="s">
        <v>5</v>
      </c>
      <c r="D12" s="6"/>
      <c r="E12" s="6"/>
      <c r="F12" s="6"/>
      <c r="G12" s="6"/>
      <c r="H12" s="6"/>
      <c r="I12" s="6"/>
      <c r="K12" s="426"/>
      <c r="N12" s="268" t="s">
        <v>43</v>
      </c>
      <c r="O12" s="268" t="s">
        <v>65</v>
      </c>
      <c r="Q12" s="268" t="s">
        <v>651</v>
      </c>
      <c r="R12" s="256">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426"/>
      <c r="N13" s="268" t="s">
        <v>44</v>
      </c>
      <c r="O13" s="268" t="s">
        <v>64</v>
      </c>
      <c r="Q13" s="268" t="s">
        <v>653</v>
      </c>
      <c r="R13" s="268">
        <f>U13*0.75</f>
        <v>12</v>
      </c>
      <c r="S13" s="28"/>
      <c r="T13" s="190"/>
      <c r="U13" s="256">
        <v>16</v>
      </c>
      <c r="V13" s="190"/>
      <c r="W13" s="28"/>
      <c r="Z13" s="18" t="s">
        <v>718</v>
      </c>
      <c r="AA13" s="18" t="s">
        <v>722</v>
      </c>
    </row>
    <row r="14" spans="2:27" ht="14" thickBot="1">
      <c r="B14" s="5">
        <f t="shared" si="0"/>
        <v>42386</v>
      </c>
      <c r="C14" s="7" t="s">
        <v>7</v>
      </c>
      <c r="D14" s="7"/>
      <c r="E14" s="7"/>
      <c r="F14" s="7"/>
      <c r="G14" s="7"/>
      <c r="H14" s="7"/>
      <c r="I14" s="7"/>
      <c r="K14" s="426"/>
      <c r="N14" s="268" t="s">
        <v>45</v>
      </c>
      <c r="O14" s="268" t="s">
        <v>65</v>
      </c>
      <c r="Q14" s="268" t="s">
        <v>654</v>
      </c>
      <c r="R14" s="190">
        <f>U14*0.7</f>
        <v>11.2</v>
      </c>
      <c r="S14" s="24"/>
      <c r="T14" s="24"/>
      <c r="U14" s="256">
        <v>16</v>
      </c>
      <c r="V14" s="24"/>
      <c r="W14" s="24"/>
      <c r="Z14" s="18" t="s">
        <v>723</v>
      </c>
      <c r="AA14" s="18" t="s">
        <v>721</v>
      </c>
    </row>
    <row r="15" spans="2:27" ht="13" customHeight="1" thickBot="1">
      <c r="B15" s="5">
        <f t="shared" si="0"/>
        <v>42387</v>
      </c>
      <c r="C15" s="6" t="s">
        <v>1</v>
      </c>
      <c r="H15" s="6"/>
      <c r="I15" s="6"/>
      <c r="K15" s="426" t="s">
        <v>24</v>
      </c>
      <c r="N15" s="268" t="s">
        <v>46</v>
      </c>
      <c r="O15" s="259"/>
      <c r="Q15" s="268" t="s">
        <v>655</v>
      </c>
      <c r="R15" s="190">
        <f>R13-1</f>
        <v>11</v>
      </c>
      <c r="S15" s="28"/>
      <c r="T15" s="190">
        <f>R15/0.7</f>
        <v>15.714285714285715</v>
      </c>
      <c r="U15" s="190">
        <f>R15/0.65</f>
        <v>16.923076923076923</v>
      </c>
      <c r="V15" s="190"/>
      <c r="W15" s="28"/>
    </row>
    <row r="16" spans="2:27" ht="14" thickBot="1">
      <c r="B16" s="5">
        <f t="shared" si="0"/>
        <v>42388</v>
      </c>
      <c r="C16" s="6" t="s">
        <v>2</v>
      </c>
      <c r="D16" s="6" t="s">
        <v>683</v>
      </c>
      <c r="E16" s="6"/>
      <c r="F16" s="6" t="s">
        <v>648</v>
      </c>
      <c r="G16" s="6"/>
      <c r="H16" s="6"/>
      <c r="I16" s="6"/>
      <c r="K16" s="426"/>
      <c r="N16" s="268" t="s">
        <v>47</v>
      </c>
      <c r="O16" s="268" t="s">
        <v>62</v>
      </c>
      <c r="Q16" s="268" t="s">
        <v>656</v>
      </c>
      <c r="R16" s="190">
        <f>R14-1</f>
        <v>10.199999999999999</v>
      </c>
      <c r="S16" s="28"/>
      <c r="T16" s="190">
        <f>R16/0.75</f>
        <v>13.6</v>
      </c>
      <c r="U16" s="190">
        <f>R16/0.7</f>
        <v>14.571428571428571</v>
      </c>
      <c r="V16" s="190"/>
      <c r="W16" s="28"/>
    </row>
    <row r="17" spans="2:23" ht="14" thickBot="1">
      <c r="B17" s="5">
        <f t="shared" si="0"/>
        <v>42389</v>
      </c>
      <c r="C17" s="7" t="s">
        <v>3</v>
      </c>
      <c r="D17" s="7">
        <v>0</v>
      </c>
      <c r="E17" s="7" t="s">
        <v>688</v>
      </c>
      <c r="F17" s="7"/>
      <c r="G17" s="7"/>
      <c r="H17" s="7"/>
      <c r="I17" s="7"/>
      <c r="K17" s="426"/>
      <c r="N17" s="427" t="s">
        <v>48</v>
      </c>
      <c r="O17" s="427"/>
      <c r="Q17" s="24"/>
      <c r="R17" s="24"/>
      <c r="S17" s="24"/>
      <c r="T17" s="24"/>
      <c r="U17" s="24"/>
      <c r="V17" s="24"/>
      <c r="W17" s="24"/>
    </row>
    <row r="18" spans="2:23" ht="14" thickBot="1">
      <c r="B18" s="5">
        <f t="shared" si="0"/>
        <v>42390</v>
      </c>
      <c r="C18" s="6" t="s">
        <v>4</v>
      </c>
      <c r="D18" s="6"/>
      <c r="E18" s="6"/>
      <c r="F18" s="6"/>
      <c r="G18" s="6"/>
      <c r="H18" s="6"/>
      <c r="I18" s="6"/>
      <c r="K18" s="426"/>
      <c r="N18" s="268" t="s">
        <v>49</v>
      </c>
      <c r="O18" s="260" t="s">
        <v>66</v>
      </c>
      <c r="Q18" s="24"/>
      <c r="R18" s="24"/>
      <c r="S18" s="24"/>
      <c r="T18" s="24"/>
      <c r="U18" s="24"/>
      <c r="V18" s="24"/>
      <c r="W18" s="24"/>
    </row>
    <row r="19" spans="2:23" ht="14" thickBot="1">
      <c r="B19" s="5">
        <f t="shared" si="0"/>
        <v>42391</v>
      </c>
      <c r="C19" s="6" t="s">
        <v>5</v>
      </c>
      <c r="D19" s="6"/>
      <c r="E19" s="6"/>
      <c r="F19" s="6"/>
      <c r="G19" s="6"/>
      <c r="H19" s="6"/>
      <c r="I19" s="6"/>
      <c r="K19" s="426"/>
      <c r="N19" s="268" t="s">
        <v>50</v>
      </c>
      <c r="O19" s="260" t="s">
        <v>67</v>
      </c>
    </row>
    <row r="20" spans="2:23" ht="14" thickBot="1">
      <c r="B20" s="5">
        <f t="shared" si="0"/>
        <v>42392</v>
      </c>
      <c r="C20" s="268" t="s">
        <v>6</v>
      </c>
      <c r="D20" s="268"/>
      <c r="E20" s="268"/>
      <c r="F20" s="268"/>
      <c r="G20" s="268"/>
      <c r="H20" s="268"/>
      <c r="I20" s="268"/>
      <c r="K20" s="426"/>
      <c r="N20" s="268" t="s">
        <v>51</v>
      </c>
      <c r="O20" s="260" t="s">
        <v>68</v>
      </c>
    </row>
    <row r="21" spans="2:23" ht="14" thickBot="1">
      <c r="B21" s="5">
        <f t="shared" si="0"/>
        <v>42393</v>
      </c>
      <c r="C21" s="7" t="s">
        <v>7</v>
      </c>
      <c r="D21" s="7"/>
      <c r="E21" s="7"/>
      <c r="F21" s="7"/>
      <c r="G21" s="7"/>
      <c r="H21" s="7"/>
      <c r="I21" s="7"/>
      <c r="K21" s="426"/>
      <c r="N21" s="427" t="s">
        <v>52</v>
      </c>
      <c r="O21" s="427"/>
      <c r="Q21" s="254" t="s">
        <v>658</v>
      </c>
      <c r="R21" s="254" t="s">
        <v>364</v>
      </c>
      <c r="S21" s="254" t="s">
        <v>642</v>
      </c>
      <c r="T21" s="277" t="s">
        <v>643</v>
      </c>
      <c r="U21" s="277" t="s">
        <v>731</v>
      </c>
      <c r="V21" s="277" t="s">
        <v>735</v>
      </c>
      <c r="W21" s="277" t="s">
        <v>732</v>
      </c>
    </row>
    <row r="22" spans="2:23" ht="14" thickBot="1">
      <c r="B22" s="5">
        <f t="shared" si="0"/>
        <v>42394</v>
      </c>
      <c r="C22" s="6" t="s">
        <v>1</v>
      </c>
      <c r="D22" s="6"/>
      <c r="E22" s="6"/>
      <c r="F22" s="6"/>
      <c r="G22" s="6"/>
      <c r="H22" s="6"/>
      <c r="I22" s="6"/>
      <c r="K22" s="426" t="s">
        <v>25</v>
      </c>
      <c r="N22" s="268" t="s">
        <v>53</v>
      </c>
      <c r="O22" s="268" t="s">
        <v>69</v>
      </c>
      <c r="Q22" s="268" t="s">
        <v>179</v>
      </c>
      <c r="R22" s="276"/>
      <c r="S22" s="256">
        <v>16</v>
      </c>
      <c r="T22" s="4" t="str">
        <f>CONCATENATE(ROUNDDOWN(60/S22,0),"'",ROUNDUP(60*((60/S22)-ROUNDDOWN(60/S22,0)),0),"''")</f>
        <v>3'45''</v>
      </c>
      <c r="U22" s="28"/>
      <c r="V22" s="28"/>
      <c r="W22" s="28"/>
    </row>
    <row r="23" spans="2:23" ht="14" thickBot="1">
      <c r="B23" s="5">
        <f t="shared" si="0"/>
        <v>42395</v>
      </c>
      <c r="C23" s="6" t="s">
        <v>2</v>
      </c>
      <c r="D23" s="6" t="s">
        <v>685</v>
      </c>
      <c r="E23" s="6"/>
      <c r="F23" s="6" t="s">
        <v>648</v>
      </c>
      <c r="G23" s="6"/>
      <c r="H23" s="6"/>
      <c r="I23" s="6"/>
      <c r="K23" s="426"/>
      <c r="N23" s="268" t="s">
        <v>54</v>
      </c>
      <c r="O23" s="268" t="s">
        <v>69</v>
      </c>
      <c r="Q23" s="268" t="s">
        <v>644</v>
      </c>
      <c r="R23" s="276"/>
      <c r="S23" s="256">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426"/>
      <c r="N24" s="268" t="s">
        <v>55</v>
      </c>
      <c r="O24" s="268" t="s">
        <v>70</v>
      </c>
      <c r="Q24" s="268" t="s">
        <v>645</v>
      </c>
      <c r="R24" s="276"/>
      <c r="S24" s="256">
        <v>12</v>
      </c>
      <c r="T24" s="4" t="str">
        <f t="shared" si="1"/>
        <v>5'0''</v>
      </c>
      <c r="U24" s="28"/>
      <c r="V24" s="28"/>
      <c r="W24" s="28"/>
    </row>
    <row r="25" spans="2:23" ht="14" thickBot="1">
      <c r="B25" s="5">
        <f t="shared" si="0"/>
        <v>42397</v>
      </c>
      <c r="C25" s="6" t="s">
        <v>4</v>
      </c>
      <c r="D25" s="6"/>
      <c r="E25" s="6"/>
      <c r="F25" s="6"/>
      <c r="G25" s="6"/>
      <c r="H25" s="6"/>
      <c r="I25" s="6"/>
      <c r="K25" s="426"/>
      <c r="N25" s="268" t="s">
        <v>56</v>
      </c>
      <c r="O25" s="268" t="s">
        <v>71</v>
      </c>
      <c r="Q25" s="268" t="s">
        <v>648</v>
      </c>
      <c r="R25" s="276" t="s">
        <v>729</v>
      </c>
      <c r="S25" s="256">
        <v>10.4</v>
      </c>
      <c r="T25" s="4" t="str">
        <f t="shared" si="1"/>
        <v>5'47''</v>
      </c>
      <c r="U25" s="4" t="s">
        <v>737</v>
      </c>
      <c r="V25" s="4" t="s">
        <v>736</v>
      </c>
      <c r="W25" s="4" t="s">
        <v>738</v>
      </c>
    </row>
    <row r="26" spans="2:23" ht="14" thickBot="1">
      <c r="B26" s="5">
        <f t="shared" si="0"/>
        <v>42398</v>
      </c>
      <c r="C26" s="6" t="s">
        <v>5</v>
      </c>
      <c r="D26" s="6"/>
      <c r="E26" s="6"/>
      <c r="F26" s="6"/>
      <c r="G26" s="6"/>
      <c r="H26" s="6"/>
      <c r="I26" s="6"/>
      <c r="K26" s="426"/>
      <c r="N26" s="268" t="s">
        <v>57</v>
      </c>
      <c r="O26" s="268" t="s">
        <v>70</v>
      </c>
      <c r="Q26" s="268" t="s">
        <v>651</v>
      </c>
      <c r="R26" s="276" t="s">
        <v>730</v>
      </c>
      <c r="S26" s="256">
        <f>11.2</f>
        <v>11.2</v>
      </c>
      <c r="T26" s="4" t="str">
        <f t="shared" si="1"/>
        <v>5'22''</v>
      </c>
      <c r="U26" s="4" t="s">
        <v>741</v>
      </c>
      <c r="V26" s="4" t="s">
        <v>740</v>
      </c>
      <c r="W26" s="4" t="s">
        <v>739</v>
      </c>
    </row>
    <row r="27" spans="2:23" ht="14" thickBot="1">
      <c r="B27" s="5">
        <f t="shared" si="0"/>
        <v>42399</v>
      </c>
      <c r="C27" s="6" t="s">
        <v>6</v>
      </c>
      <c r="D27" s="6"/>
      <c r="E27" s="6"/>
      <c r="F27" s="6"/>
      <c r="G27" s="6"/>
      <c r="H27" s="6"/>
      <c r="I27" s="6"/>
      <c r="K27" s="426"/>
      <c r="N27" s="268" t="s">
        <v>58</v>
      </c>
      <c r="O27" s="268" t="s">
        <v>70</v>
      </c>
      <c r="Q27" s="268" t="s">
        <v>640</v>
      </c>
      <c r="R27" s="276"/>
      <c r="S27" s="256">
        <v>12</v>
      </c>
      <c r="T27" s="4" t="s">
        <v>1484</v>
      </c>
      <c r="U27" s="28"/>
      <c r="V27" s="28"/>
      <c r="W27" s="28"/>
    </row>
    <row r="28" spans="2:23" ht="14" thickBot="1">
      <c r="B28" s="5">
        <f t="shared" si="0"/>
        <v>42400</v>
      </c>
      <c r="C28" s="7" t="s">
        <v>7</v>
      </c>
      <c r="D28" s="7"/>
      <c r="E28" s="7"/>
      <c r="F28" s="7"/>
      <c r="G28" s="7"/>
      <c r="H28" s="7"/>
      <c r="I28" s="7"/>
      <c r="K28" s="426"/>
      <c r="N28" s="268" t="s">
        <v>59</v>
      </c>
      <c r="O28" s="268" t="s">
        <v>72</v>
      </c>
      <c r="Q28" s="268" t="s">
        <v>690</v>
      </c>
      <c r="R28" s="276"/>
      <c r="S28" s="256">
        <v>4</v>
      </c>
      <c r="T28" s="4" t="str">
        <f t="shared" si="1"/>
        <v>15'0''</v>
      </c>
      <c r="U28" s="28"/>
      <c r="V28" s="28"/>
      <c r="W28" s="28"/>
    </row>
    <row r="29" spans="2:23" ht="14" thickBot="1">
      <c r="B29" s="5">
        <f t="shared" si="0"/>
        <v>42401</v>
      </c>
      <c r="C29" s="6" t="s">
        <v>1</v>
      </c>
      <c r="H29" s="6"/>
      <c r="I29" s="6"/>
      <c r="K29" s="426" t="s">
        <v>26</v>
      </c>
      <c r="N29" s="268" t="s">
        <v>60</v>
      </c>
      <c r="O29" s="268" t="s">
        <v>73</v>
      </c>
      <c r="Q29" s="276" t="s">
        <v>728</v>
      </c>
      <c r="R29" s="276" t="s">
        <v>728</v>
      </c>
      <c r="S29" s="256">
        <v>13</v>
      </c>
      <c r="T29" s="4" t="str">
        <f t="shared" ref="T29:T34" si="2">CONCATENATE(ROUNDDOWN(60/S29,0),"'",ROUNDUP(60*((60/S29)-ROUNDDOWN(60/S29,0)),0),"''")</f>
        <v>4'37''</v>
      </c>
      <c r="U29" s="4" t="s">
        <v>743</v>
      </c>
      <c r="V29" s="4" t="s">
        <v>742</v>
      </c>
      <c r="W29" s="4" t="s">
        <v>744</v>
      </c>
    </row>
    <row r="30" spans="2:23" ht="14" thickBot="1">
      <c r="B30" s="5">
        <f t="shared" si="0"/>
        <v>42402</v>
      </c>
      <c r="C30" s="7" t="s">
        <v>2</v>
      </c>
      <c r="D30" s="6" t="s">
        <v>686</v>
      </c>
      <c r="E30" s="6"/>
      <c r="F30" s="6" t="s">
        <v>648</v>
      </c>
      <c r="G30" s="6"/>
      <c r="H30" s="7"/>
      <c r="I30" s="7"/>
      <c r="K30" s="426"/>
      <c r="Q30" s="276" t="s">
        <v>724</v>
      </c>
      <c r="R30" s="276"/>
      <c r="S30" s="256">
        <f>0.85*$S$22</f>
        <v>13.6</v>
      </c>
      <c r="T30" s="4" t="str">
        <f t="shared" si="2"/>
        <v>4'25''</v>
      </c>
      <c r="U30" s="28"/>
      <c r="V30" s="28"/>
      <c r="W30" s="28"/>
    </row>
    <row r="31" spans="2:23" ht="14" thickBot="1">
      <c r="B31" s="5">
        <f t="shared" si="0"/>
        <v>42403</v>
      </c>
      <c r="C31" s="6" t="s">
        <v>3</v>
      </c>
      <c r="D31" s="7">
        <v>0</v>
      </c>
      <c r="E31" s="6"/>
      <c r="F31" s="6"/>
      <c r="G31" s="6"/>
      <c r="H31" s="6"/>
      <c r="I31" s="6"/>
      <c r="K31" s="426"/>
      <c r="Q31" s="276" t="s">
        <v>725</v>
      </c>
      <c r="R31" s="276"/>
      <c r="S31" s="256">
        <f>0.8*$S$22</f>
        <v>12.8</v>
      </c>
      <c r="T31" s="4" t="str">
        <f t="shared" si="2"/>
        <v>4'42''</v>
      </c>
      <c r="U31" s="28"/>
      <c r="V31" s="28"/>
      <c r="W31" s="28"/>
    </row>
    <row r="32" spans="2:23" ht="14" thickBot="1">
      <c r="B32" s="5">
        <f t="shared" si="0"/>
        <v>42404</v>
      </c>
      <c r="C32" s="6" t="s">
        <v>4</v>
      </c>
      <c r="D32" s="6"/>
      <c r="E32" s="6"/>
      <c r="F32" s="6"/>
      <c r="G32" s="6"/>
      <c r="H32" s="6"/>
      <c r="I32" s="6"/>
      <c r="K32" s="426"/>
      <c r="Q32" s="276" t="s">
        <v>733</v>
      </c>
      <c r="R32" s="276"/>
      <c r="S32" s="256">
        <f>0.75*$S$22</f>
        <v>12</v>
      </c>
      <c r="T32" s="4" t="str">
        <f t="shared" si="2"/>
        <v>5'0''</v>
      </c>
      <c r="U32" s="28"/>
      <c r="V32" s="28"/>
      <c r="W32" s="28"/>
    </row>
    <row r="33" spans="2:23" ht="14" thickBot="1">
      <c r="B33" s="5">
        <f t="shared" si="0"/>
        <v>42405</v>
      </c>
      <c r="C33" s="6" t="s">
        <v>5</v>
      </c>
      <c r="D33" s="6"/>
      <c r="E33" s="6"/>
      <c r="F33" s="6"/>
      <c r="G33" s="6"/>
      <c r="H33" s="6"/>
      <c r="I33" s="6"/>
      <c r="K33" s="426"/>
      <c r="Q33" s="276" t="s">
        <v>734</v>
      </c>
      <c r="R33" s="276"/>
      <c r="S33" s="256">
        <f>0.7*$S$22</f>
        <v>11.2</v>
      </c>
      <c r="T33" s="4" t="str">
        <f t="shared" si="2"/>
        <v>5'22''</v>
      </c>
      <c r="U33" s="28"/>
      <c r="V33" s="4" t="s">
        <v>727</v>
      </c>
      <c r="W33" s="28"/>
    </row>
    <row r="34" spans="2:23" ht="14" thickBot="1">
      <c r="B34" s="5">
        <f t="shared" si="0"/>
        <v>42406</v>
      </c>
      <c r="C34" s="7" t="s">
        <v>6</v>
      </c>
      <c r="D34" s="7"/>
      <c r="E34" s="7"/>
      <c r="F34" s="7"/>
      <c r="G34" s="7"/>
      <c r="H34" s="7"/>
      <c r="I34" s="7"/>
      <c r="K34" s="426"/>
      <c r="Q34" s="276" t="s">
        <v>726</v>
      </c>
      <c r="R34" s="276"/>
      <c r="S34" s="256">
        <f>0.65*$S$22</f>
        <v>10.4</v>
      </c>
      <c r="T34" s="4" t="str">
        <f t="shared" si="2"/>
        <v>5'47''</v>
      </c>
      <c r="U34" s="28"/>
      <c r="V34" s="28"/>
      <c r="W34" s="28"/>
    </row>
    <row r="35" spans="2:23" ht="14" thickBot="1">
      <c r="B35" s="5">
        <f t="shared" si="0"/>
        <v>42407</v>
      </c>
      <c r="C35" s="7" t="s">
        <v>7</v>
      </c>
      <c r="D35" s="7"/>
      <c r="E35" s="7"/>
      <c r="F35" s="7"/>
      <c r="G35" s="7"/>
      <c r="H35" s="7"/>
      <c r="I35" s="7"/>
      <c r="K35" s="426"/>
    </row>
    <row r="36" spans="2:23" ht="14" thickBot="1">
      <c r="B36" s="5">
        <f t="shared" si="0"/>
        <v>42408</v>
      </c>
      <c r="C36" s="6" t="s">
        <v>1</v>
      </c>
      <c r="H36" s="6"/>
      <c r="I36" s="6"/>
      <c r="K36" s="426" t="s">
        <v>27</v>
      </c>
    </row>
    <row r="37" spans="2:23" ht="14" thickBot="1">
      <c r="B37" s="5">
        <f t="shared" si="0"/>
        <v>42409</v>
      </c>
      <c r="C37" s="6" t="s">
        <v>2</v>
      </c>
      <c r="D37" s="6" t="s">
        <v>687</v>
      </c>
      <c r="E37" s="6"/>
      <c r="F37" s="6" t="s">
        <v>648</v>
      </c>
      <c r="G37" s="6"/>
      <c r="H37" s="6"/>
      <c r="I37" s="6"/>
      <c r="K37" s="426"/>
    </row>
    <row r="38" spans="2:23" ht="14" thickBot="1">
      <c r="B38" s="5">
        <f t="shared" si="0"/>
        <v>42410</v>
      </c>
      <c r="C38" s="7" t="s">
        <v>3</v>
      </c>
      <c r="D38" s="7">
        <v>0</v>
      </c>
      <c r="E38" s="7"/>
      <c r="F38" s="7"/>
      <c r="G38" s="7"/>
      <c r="H38" s="7"/>
      <c r="I38" s="7"/>
      <c r="K38" s="426"/>
    </row>
    <row r="39" spans="2:23" ht="14" thickBot="1">
      <c r="B39" s="5">
        <f t="shared" si="0"/>
        <v>42411</v>
      </c>
      <c r="C39" s="6" t="s">
        <v>4</v>
      </c>
      <c r="D39" s="6"/>
      <c r="E39" s="6"/>
      <c r="F39" s="6"/>
      <c r="G39" s="6"/>
      <c r="H39" s="6"/>
      <c r="I39" s="6"/>
      <c r="K39" s="426"/>
    </row>
    <row r="40" spans="2:23" ht="14" thickBot="1">
      <c r="B40" s="5">
        <f t="shared" si="0"/>
        <v>42412</v>
      </c>
      <c r="C40" s="6" t="s">
        <v>5</v>
      </c>
      <c r="D40" s="6"/>
      <c r="E40" s="6"/>
      <c r="F40" s="6"/>
      <c r="G40" s="6"/>
      <c r="H40" s="6"/>
      <c r="I40" s="6"/>
      <c r="K40" s="426"/>
    </row>
    <row r="41" spans="2:23" ht="14" thickBot="1">
      <c r="B41" s="5">
        <f t="shared" si="0"/>
        <v>42413</v>
      </c>
      <c r="C41" s="6" t="s">
        <v>6</v>
      </c>
      <c r="D41" s="6"/>
      <c r="E41" s="6"/>
      <c r="F41" s="6"/>
      <c r="G41" s="6"/>
      <c r="H41" s="6"/>
      <c r="I41" s="6"/>
      <c r="K41" s="426"/>
    </row>
    <row r="42" spans="2:23" ht="14" thickBot="1">
      <c r="B42" s="5">
        <f t="shared" si="0"/>
        <v>42414</v>
      </c>
      <c r="C42" s="7" t="s">
        <v>7</v>
      </c>
      <c r="D42" s="7"/>
      <c r="E42" s="7"/>
      <c r="F42" s="7"/>
      <c r="G42" s="7"/>
      <c r="H42" s="7"/>
      <c r="I42" s="7"/>
      <c r="K42" s="426"/>
    </row>
    <row r="43" spans="2:23" ht="18" thickBot="1">
      <c r="B43" s="5">
        <f t="shared" si="0"/>
        <v>42415</v>
      </c>
      <c r="C43" s="6" t="s">
        <v>1</v>
      </c>
      <c r="H43" s="6"/>
      <c r="I43" s="6"/>
      <c r="K43" s="426" t="s">
        <v>34</v>
      </c>
      <c r="Q43" s="411" t="s">
        <v>701</v>
      </c>
      <c r="R43" s="412"/>
      <c r="S43" s="412"/>
      <c r="T43" s="412"/>
      <c r="U43" s="412"/>
      <c r="V43" s="412"/>
      <c r="W43" s="412"/>
    </row>
    <row r="44" spans="2:23" ht="14" thickBot="1">
      <c r="B44" s="5">
        <f t="shared" si="0"/>
        <v>42416</v>
      </c>
      <c r="C44" s="6" t="s">
        <v>2</v>
      </c>
      <c r="D44" s="6" t="s">
        <v>687</v>
      </c>
      <c r="E44" s="6"/>
      <c r="F44" s="6" t="s">
        <v>648</v>
      </c>
      <c r="G44" s="6"/>
      <c r="H44" s="6"/>
      <c r="I44" s="6"/>
      <c r="K44" s="426"/>
      <c r="Q44" s="254" t="s">
        <v>702</v>
      </c>
      <c r="R44" s="254" t="s">
        <v>78</v>
      </c>
      <c r="S44" s="254" t="s">
        <v>663</v>
      </c>
      <c r="T44" s="254" t="s">
        <v>705</v>
      </c>
      <c r="U44" s="254" t="s">
        <v>643</v>
      </c>
      <c r="V44" s="254"/>
      <c r="W44" s="3"/>
    </row>
    <row r="45" spans="2:23" ht="14" thickBot="1">
      <c r="B45" s="5">
        <f t="shared" si="0"/>
        <v>42417</v>
      </c>
      <c r="C45" s="7" t="s">
        <v>3</v>
      </c>
      <c r="D45" s="7">
        <v>0</v>
      </c>
      <c r="E45" s="7"/>
      <c r="F45" s="7"/>
      <c r="G45" s="7"/>
      <c r="H45" s="7"/>
      <c r="I45" s="7"/>
      <c r="K45" s="426"/>
      <c r="Q45" s="3">
        <v>1</v>
      </c>
      <c r="R45" s="21" t="s">
        <v>703</v>
      </c>
      <c r="S45" s="21" t="s">
        <v>704</v>
      </c>
      <c r="T45" s="21" t="s">
        <v>706</v>
      </c>
      <c r="U45" s="3"/>
      <c r="V45" s="3"/>
      <c r="W45" s="3"/>
    </row>
    <row r="46" spans="2:23" ht="14" thickBot="1">
      <c r="B46" s="5">
        <f t="shared" si="0"/>
        <v>42418</v>
      </c>
      <c r="C46" s="6" t="s">
        <v>4</v>
      </c>
      <c r="D46" s="6"/>
      <c r="E46" s="6"/>
      <c r="F46" s="6"/>
      <c r="G46" s="6"/>
      <c r="H46" s="6"/>
      <c r="I46" s="6"/>
      <c r="K46" s="426"/>
    </row>
    <row r="47" spans="2:23" ht="14" thickBot="1">
      <c r="B47" s="5">
        <f t="shared" si="0"/>
        <v>42419</v>
      </c>
      <c r="C47" s="6" t="s">
        <v>5</v>
      </c>
      <c r="D47" s="6"/>
      <c r="E47" s="6"/>
      <c r="F47" s="6"/>
      <c r="G47" s="6"/>
      <c r="H47" s="6"/>
      <c r="I47" s="6"/>
      <c r="K47" s="426"/>
    </row>
    <row r="48" spans="2:23" ht="14" thickBot="1">
      <c r="B48" s="5">
        <f t="shared" si="0"/>
        <v>42420</v>
      </c>
      <c r="C48" s="6" t="s">
        <v>6</v>
      </c>
      <c r="D48" s="6"/>
      <c r="E48" s="6"/>
      <c r="F48" s="6"/>
      <c r="G48" s="6"/>
      <c r="H48" s="6"/>
      <c r="I48" s="6"/>
      <c r="K48" s="426"/>
    </row>
    <row r="49" spans="2:27" ht="14" thickBot="1">
      <c r="B49" s="5">
        <f t="shared" si="0"/>
        <v>42421</v>
      </c>
      <c r="C49" s="7" t="s">
        <v>7</v>
      </c>
      <c r="D49" s="7"/>
      <c r="E49" s="7"/>
      <c r="F49" s="7"/>
      <c r="G49" s="7"/>
      <c r="H49" s="7"/>
      <c r="I49" s="7"/>
      <c r="K49" s="426"/>
    </row>
    <row r="50" spans="2:27" ht="14" thickBot="1">
      <c r="B50" s="5">
        <f t="shared" si="0"/>
        <v>42422</v>
      </c>
      <c r="C50" s="6" t="s">
        <v>1</v>
      </c>
      <c r="D50" s="6"/>
      <c r="E50" s="6"/>
      <c r="F50" s="6"/>
      <c r="G50" s="6"/>
      <c r="H50" s="6"/>
      <c r="I50" s="6"/>
      <c r="K50" s="426" t="s">
        <v>35</v>
      </c>
    </row>
    <row r="51" spans="2:27" ht="14" thickBot="1">
      <c r="B51" s="5">
        <f t="shared" si="0"/>
        <v>42423</v>
      </c>
      <c r="C51" s="6" t="s">
        <v>2</v>
      </c>
      <c r="D51" s="6" t="s">
        <v>687</v>
      </c>
      <c r="E51" s="6"/>
      <c r="F51" s="6" t="s">
        <v>648</v>
      </c>
      <c r="G51" s="6"/>
      <c r="H51" s="6"/>
      <c r="I51" s="6"/>
      <c r="K51" s="426"/>
    </row>
    <row r="52" spans="2:27" ht="14" thickBot="1">
      <c r="B52" s="5">
        <f t="shared" si="0"/>
        <v>42424</v>
      </c>
      <c r="C52" s="7" t="s">
        <v>3</v>
      </c>
      <c r="D52" s="7">
        <v>0</v>
      </c>
      <c r="E52" s="7"/>
      <c r="F52" s="7"/>
      <c r="G52" s="7"/>
      <c r="H52" s="7"/>
      <c r="I52" s="7"/>
      <c r="K52" s="426"/>
    </row>
    <row r="53" spans="2:27" ht="14" thickBot="1">
      <c r="B53" s="5">
        <f t="shared" si="0"/>
        <v>42425</v>
      </c>
      <c r="C53" s="6" t="s">
        <v>4</v>
      </c>
      <c r="D53" s="6"/>
      <c r="E53" s="6"/>
      <c r="F53" s="6"/>
      <c r="G53" s="6"/>
      <c r="H53" s="6"/>
      <c r="I53" s="6"/>
      <c r="K53" s="426"/>
    </row>
    <row r="54" spans="2:27" ht="14" thickBot="1">
      <c r="B54" s="5">
        <f t="shared" si="0"/>
        <v>42426</v>
      </c>
      <c r="C54" s="6" t="s">
        <v>5</v>
      </c>
      <c r="D54" s="6"/>
      <c r="E54" s="6"/>
      <c r="F54" s="6"/>
      <c r="G54" s="6"/>
      <c r="H54" s="6"/>
      <c r="I54" s="6"/>
      <c r="K54" s="426"/>
    </row>
    <row r="55" spans="2:27" ht="14" thickBot="1">
      <c r="B55" s="5">
        <f t="shared" si="0"/>
        <v>42427</v>
      </c>
      <c r="C55" s="6" t="s">
        <v>6</v>
      </c>
      <c r="D55" s="6"/>
      <c r="E55" s="6"/>
      <c r="F55" s="6"/>
      <c r="G55" s="6"/>
      <c r="H55" s="6"/>
      <c r="I55" s="6"/>
      <c r="K55" s="426"/>
    </row>
    <row r="56" spans="2:27" ht="17" customHeight="1" thickBot="1">
      <c r="B56" s="5">
        <f t="shared" si="0"/>
        <v>42428</v>
      </c>
      <c r="C56" s="7" t="s">
        <v>7</v>
      </c>
      <c r="D56" s="7"/>
      <c r="E56" s="7"/>
      <c r="F56" s="7"/>
      <c r="G56" s="7"/>
      <c r="H56" s="7"/>
      <c r="I56" s="7"/>
      <c r="K56" s="426"/>
      <c r="N56" s="428" t="s">
        <v>707</v>
      </c>
      <c r="O56" s="428"/>
      <c r="P56" s="428"/>
      <c r="Q56" s="428"/>
      <c r="R56" s="428"/>
      <c r="S56" s="428"/>
      <c r="T56" s="428"/>
      <c r="U56" s="428"/>
      <c r="V56" s="428"/>
      <c r="W56" s="428"/>
      <c r="X56" s="428"/>
      <c r="Y56" s="428"/>
    </row>
    <row r="57" spans="2:27" ht="14" thickBot="1">
      <c r="B57" s="5">
        <f t="shared" si="0"/>
        <v>42429</v>
      </c>
      <c r="C57" s="6" t="s">
        <v>1</v>
      </c>
      <c r="H57" s="6"/>
      <c r="I57" s="6"/>
      <c r="K57" s="426" t="s">
        <v>36</v>
      </c>
      <c r="N57" s="269" t="s">
        <v>78</v>
      </c>
      <c r="O57" s="269" t="s">
        <v>715</v>
      </c>
      <c r="P57" s="269" t="s">
        <v>245</v>
      </c>
      <c r="Q57" s="269" t="s">
        <v>716</v>
      </c>
      <c r="R57" s="269" t="s">
        <v>708</v>
      </c>
      <c r="S57" s="269" t="s">
        <v>711</v>
      </c>
      <c r="T57" s="269" t="s">
        <v>712</v>
      </c>
      <c r="U57" s="269" t="s">
        <v>713</v>
      </c>
      <c r="V57" s="269" t="s">
        <v>709</v>
      </c>
      <c r="W57" s="269" t="s">
        <v>710</v>
      </c>
      <c r="X57" s="269" t="s">
        <v>714</v>
      </c>
      <c r="Y57" s="269" t="s">
        <v>720</v>
      </c>
    </row>
    <row r="58" spans="2:27" ht="17" thickTop="1" thickBot="1">
      <c r="B58" s="5">
        <f t="shared" si="0"/>
        <v>42430</v>
      </c>
      <c r="C58" s="7" t="s">
        <v>2</v>
      </c>
      <c r="D58" s="6" t="s">
        <v>664</v>
      </c>
      <c r="E58" s="6"/>
      <c r="F58" s="6" t="s">
        <v>648</v>
      </c>
      <c r="G58" s="6"/>
      <c r="H58" s="7"/>
      <c r="I58" s="7"/>
      <c r="K58" s="426"/>
      <c r="N58" s="4" t="s">
        <v>719</v>
      </c>
      <c r="O58" s="4" t="s">
        <v>717</v>
      </c>
      <c r="P58" s="28">
        <v>1</v>
      </c>
      <c r="Q58" s="28">
        <v>4</v>
      </c>
      <c r="R58" s="256">
        <v>3</v>
      </c>
      <c r="S58" s="275">
        <v>0</v>
      </c>
      <c r="T58" s="4">
        <f>0.8*S22</f>
        <v>12.8</v>
      </c>
      <c r="U58" s="272" t="str">
        <f>T22</f>
        <v>3'45''</v>
      </c>
      <c r="V58" s="271">
        <v>130</v>
      </c>
      <c r="W58" s="28">
        <f>S28</f>
        <v>4</v>
      </c>
      <c r="X58" s="28" t="str">
        <f>T28</f>
        <v>15'0''</v>
      </c>
      <c r="Y58" s="273">
        <v>3430</v>
      </c>
      <c r="Z58" s="274">
        <f>R58*(60*(LEFT(S58,2)+RIGHT(S58,2))+60*(LEFT(V58,2)+RIGHT(V58,2)))</f>
        <v>7740</v>
      </c>
      <c r="AA58">
        <f>Z58/3600</f>
        <v>2.15</v>
      </c>
    </row>
    <row r="59" spans="2:27" ht="14" thickBot="1">
      <c r="B59" s="5">
        <f t="shared" si="0"/>
        <v>42431</v>
      </c>
      <c r="C59" s="6" t="s">
        <v>3</v>
      </c>
      <c r="D59" s="7">
        <v>0</v>
      </c>
      <c r="E59" s="6"/>
      <c r="F59" s="6"/>
      <c r="G59" s="6"/>
      <c r="H59" s="6"/>
      <c r="I59" s="6"/>
      <c r="K59" s="426"/>
    </row>
    <row r="60" spans="2:27" ht="14" thickBot="1">
      <c r="B60" s="5">
        <f t="shared" si="0"/>
        <v>42432</v>
      </c>
      <c r="C60" s="6" t="s">
        <v>4</v>
      </c>
      <c r="D60" s="6"/>
      <c r="E60" s="6"/>
      <c r="F60" s="6"/>
      <c r="G60" s="6"/>
      <c r="H60" s="6"/>
      <c r="I60" s="6"/>
      <c r="K60" s="426"/>
    </row>
    <row r="61" spans="2:27" ht="14" thickBot="1">
      <c r="B61" s="5">
        <f t="shared" si="0"/>
        <v>42433</v>
      </c>
      <c r="C61" s="6" t="s">
        <v>5</v>
      </c>
      <c r="D61" s="6"/>
      <c r="E61" s="6"/>
      <c r="F61" s="6"/>
      <c r="G61" s="6"/>
      <c r="H61" s="6"/>
      <c r="I61" s="6"/>
      <c r="K61" s="426"/>
    </row>
    <row r="62" spans="2:27" ht="14" thickBot="1">
      <c r="B62" s="5">
        <f t="shared" si="0"/>
        <v>42434</v>
      </c>
      <c r="C62" s="6" t="s">
        <v>6</v>
      </c>
      <c r="D62" s="6"/>
      <c r="E62" s="6"/>
      <c r="F62" s="6"/>
      <c r="G62" s="6"/>
      <c r="H62" s="6"/>
      <c r="I62" s="6"/>
      <c r="K62" s="426"/>
    </row>
    <row r="63" spans="2:27" ht="14" thickBot="1">
      <c r="B63" s="5">
        <f t="shared" si="0"/>
        <v>42435</v>
      </c>
      <c r="C63" s="7" t="s">
        <v>7</v>
      </c>
      <c r="D63" s="7"/>
      <c r="E63" s="7"/>
      <c r="F63" s="7"/>
      <c r="G63" s="7"/>
      <c r="H63" s="7"/>
      <c r="I63" s="7"/>
      <c r="K63" s="426"/>
    </row>
    <row r="64" spans="2:27" ht="14" thickBot="1">
      <c r="B64" s="5">
        <f t="shared" si="0"/>
        <v>42436</v>
      </c>
      <c r="C64" s="6" t="s">
        <v>1</v>
      </c>
      <c r="H64" s="6"/>
      <c r="I64" s="6"/>
      <c r="K64" s="426" t="s">
        <v>37</v>
      </c>
    </row>
    <row r="65" spans="1:11" ht="14" thickBot="1">
      <c r="B65" s="5">
        <f t="shared" si="0"/>
        <v>42437</v>
      </c>
      <c r="C65" s="6" t="s">
        <v>2</v>
      </c>
      <c r="D65" s="6" t="s">
        <v>666</v>
      </c>
      <c r="E65" s="6"/>
      <c r="F65" s="6" t="s">
        <v>684</v>
      </c>
      <c r="G65" s="6"/>
      <c r="H65" s="6"/>
      <c r="I65" s="6"/>
      <c r="K65" s="426"/>
    </row>
    <row r="66" spans="1:11" ht="14" thickBot="1">
      <c r="B66" s="5">
        <f t="shared" si="0"/>
        <v>42438</v>
      </c>
      <c r="C66" s="6" t="s">
        <v>3</v>
      </c>
      <c r="D66" s="7">
        <v>0</v>
      </c>
      <c r="E66" s="6"/>
      <c r="F66" s="6"/>
      <c r="G66" s="6"/>
      <c r="H66" s="6"/>
      <c r="I66" s="6"/>
      <c r="K66" s="426"/>
    </row>
    <row r="67" spans="1:11" ht="14" thickBot="1">
      <c r="B67" s="5">
        <f t="shared" si="0"/>
        <v>42439</v>
      </c>
      <c r="C67" s="6" t="s">
        <v>4</v>
      </c>
      <c r="D67" s="6"/>
      <c r="E67" s="6"/>
      <c r="F67" s="6"/>
      <c r="G67" s="6"/>
      <c r="H67" s="6"/>
      <c r="I67" s="6"/>
      <c r="K67" s="426"/>
    </row>
    <row r="68" spans="1:11" ht="14" thickBot="1">
      <c r="B68" s="5">
        <f t="shared" si="0"/>
        <v>42440</v>
      </c>
      <c r="C68" s="6" t="s">
        <v>5</v>
      </c>
      <c r="D68" s="6"/>
      <c r="E68" s="6"/>
      <c r="F68" s="6"/>
      <c r="G68" s="6"/>
      <c r="H68" s="6"/>
      <c r="I68" s="6"/>
      <c r="K68" s="426"/>
    </row>
    <row r="69" spans="1:11" ht="14" thickBot="1">
      <c r="B69" s="5">
        <f>B70-1</f>
        <v>42441</v>
      </c>
      <c r="C69" s="268" t="s">
        <v>6</v>
      </c>
      <c r="D69" s="268"/>
      <c r="E69" s="268"/>
      <c r="F69" s="268"/>
      <c r="G69" s="268"/>
      <c r="H69" s="268"/>
      <c r="I69" s="268"/>
      <c r="K69" s="426"/>
    </row>
    <row r="70" spans="1:11" ht="14" thickBot="1">
      <c r="A70" s="2"/>
      <c r="B70" s="34">
        <v>42442</v>
      </c>
      <c r="C70" s="7" t="s">
        <v>7</v>
      </c>
      <c r="D70" s="7"/>
      <c r="E70" s="7"/>
      <c r="F70" s="1" t="s">
        <v>640</v>
      </c>
      <c r="G70" s="1"/>
      <c r="H70" s="7"/>
      <c r="I70" s="7"/>
      <c r="K70" s="426"/>
    </row>
  </sheetData>
  <mergeCells count="21">
    <mergeCell ref="Z7:AA7"/>
    <mergeCell ref="N56:Y56"/>
    <mergeCell ref="K36:K42"/>
    <mergeCell ref="K43:K49"/>
    <mergeCell ref="K50:K56"/>
    <mergeCell ref="K57:K63"/>
    <mergeCell ref="K64:K70"/>
    <mergeCell ref="Q43:W43"/>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workbookViewId="0">
      <selection activeCell="C9" sqref="C9"/>
    </sheetView>
  </sheetViews>
  <sheetFormatPr baseColWidth="10" defaultRowHeight="15" x14ac:dyDescent="0"/>
  <cols>
    <col min="1" max="1" width="10.83203125" style="279"/>
    <col min="2" max="2" width="22.6640625" style="278" customWidth="1"/>
    <col min="3" max="3" width="10.83203125" style="278"/>
    <col min="4" max="4" width="11.83203125" style="278" bestFit="1" customWidth="1"/>
    <col min="5" max="5" width="28.33203125" style="278" customWidth="1"/>
    <col min="6" max="6" width="11.6640625" style="278" customWidth="1"/>
    <col min="7" max="7" width="13.1640625" style="278" customWidth="1"/>
    <col min="8" max="8" width="13.5" style="278" bestFit="1" customWidth="1"/>
    <col min="9" max="9" width="19.5" style="278" customWidth="1"/>
    <col min="10" max="10" width="16.83203125" style="278" bestFit="1" customWidth="1"/>
    <col min="11" max="16384" width="10.83203125" style="278"/>
  </cols>
  <sheetData>
    <row r="2" spans="1:32" ht="20">
      <c r="A2" s="429" t="s">
        <v>750</v>
      </c>
      <c r="B2" s="430"/>
      <c r="C2" s="430"/>
      <c r="D2" s="430"/>
      <c r="E2" s="430"/>
      <c r="F2" s="430"/>
      <c r="G2" s="430"/>
      <c r="H2" s="430"/>
      <c r="I2" s="430"/>
      <c r="J2" s="430"/>
      <c r="K2" s="430"/>
    </row>
    <row r="3" spans="1:32" ht="16" thickBot="1">
      <c r="X3" s="280" t="s">
        <v>751</v>
      </c>
      <c r="Y3" s="280" t="s">
        <v>752</v>
      </c>
      <c r="Z3" s="280" t="s">
        <v>753</v>
      </c>
      <c r="AA3" s="280" t="s">
        <v>754</v>
      </c>
      <c r="AB3" s="280" t="s">
        <v>755</v>
      </c>
      <c r="AC3" s="280" t="s">
        <v>756</v>
      </c>
      <c r="AD3" s="280" t="s">
        <v>320</v>
      </c>
      <c r="AE3" s="280" t="s">
        <v>757</v>
      </c>
      <c r="AF3" s="280" t="s">
        <v>758</v>
      </c>
    </row>
    <row r="4" spans="1:32" ht="32" thickTop="1" thickBot="1">
      <c r="A4" s="281" t="s">
        <v>131</v>
      </c>
      <c r="B4" s="281" t="s">
        <v>759</v>
      </c>
      <c r="C4" s="281" t="s">
        <v>92</v>
      </c>
      <c r="D4" s="281" t="s">
        <v>760</v>
      </c>
      <c r="E4" s="281" t="s">
        <v>761</v>
      </c>
      <c r="F4" s="281" t="s">
        <v>762</v>
      </c>
      <c r="G4" s="281" t="s">
        <v>763</v>
      </c>
      <c r="H4" s="281" t="s">
        <v>764</v>
      </c>
      <c r="I4" s="281" t="s">
        <v>765</v>
      </c>
      <c r="J4" s="281" t="s">
        <v>766</v>
      </c>
      <c r="K4" s="281" t="s">
        <v>167</v>
      </c>
      <c r="X4" s="280">
        <v>1</v>
      </c>
      <c r="Y4" s="280" t="s">
        <v>767</v>
      </c>
      <c r="Z4" s="280" t="s">
        <v>768</v>
      </c>
      <c r="AA4" s="280" t="s">
        <v>232</v>
      </c>
      <c r="AB4" s="280" t="s">
        <v>769</v>
      </c>
      <c r="AC4" s="280" t="s">
        <v>770</v>
      </c>
      <c r="AD4" s="282">
        <v>4.1793981481481481E-2</v>
      </c>
      <c r="AE4" s="280">
        <v>14.954000000000001</v>
      </c>
      <c r="AF4" s="280">
        <v>1</v>
      </c>
    </row>
    <row r="5" spans="1:32" s="290" customFormat="1" ht="17" thickTop="1" thickBot="1">
      <c r="A5" s="283" t="s">
        <v>771</v>
      </c>
      <c r="B5" s="284" t="s">
        <v>772</v>
      </c>
      <c r="C5" s="285">
        <v>25000</v>
      </c>
      <c r="D5" s="286">
        <v>700</v>
      </c>
      <c r="E5" s="287">
        <v>0.13165509259259259</v>
      </c>
      <c r="F5" s="288">
        <f>HOUR(E5)</f>
        <v>3</v>
      </c>
      <c r="G5" s="288">
        <f>MINUTE(E5)</f>
        <v>9</v>
      </c>
      <c r="H5" s="288">
        <f>SECOND(E5)</f>
        <v>35</v>
      </c>
      <c r="I5" s="288">
        <f>F5+(G5/60)+(H5/3600)</f>
        <v>3.1597222222222223</v>
      </c>
      <c r="J5" s="286">
        <f>C5/I5/1000</f>
        <v>7.9120879120879115</v>
      </c>
      <c r="K5" s="289" t="str">
        <f t="shared" ref="K5:K35" si="0">CONCATENATE(INT(60/J5),"'",INT(60*(60/J5-INT(60/J5))),"''")</f>
        <v>7'35''</v>
      </c>
      <c r="X5" s="280">
        <v>471</v>
      </c>
      <c r="Y5" s="280" t="s">
        <v>773</v>
      </c>
      <c r="Z5" s="280" t="s">
        <v>774</v>
      </c>
      <c r="AA5" s="280" t="s">
        <v>232</v>
      </c>
      <c r="AB5" s="280" t="s">
        <v>769</v>
      </c>
      <c r="AC5" s="280">
        <v>0</v>
      </c>
      <c r="AD5" s="282">
        <v>4.3344907407407408E-2</v>
      </c>
      <c r="AE5" s="280">
        <v>14.419</v>
      </c>
      <c r="AF5" s="280">
        <v>2</v>
      </c>
    </row>
    <row r="6" spans="1:32" s="290" customFormat="1" ht="32" thickTop="1" thickBot="1">
      <c r="A6" s="283" t="s">
        <v>771</v>
      </c>
      <c r="B6" s="284" t="s">
        <v>775</v>
      </c>
      <c r="C6" s="285">
        <v>27978</v>
      </c>
      <c r="D6" s="286"/>
      <c r="E6" s="287">
        <v>0.13900462962962959</v>
      </c>
      <c r="F6" s="288">
        <f t="shared" ref="F6:F8" si="1">HOUR(E6)</f>
        <v>3</v>
      </c>
      <c r="G6" s="288">
        <f t="shared" ref="G6:G8" si="2">MINUTE(E6)</f>
        <v>20</v>
      </c>
      <c r="H6" s="288">
        <f t="shared" ref="H6:H8" si="3">SECOND(E6)</f>
        <v>10</v>
      </c>
      <c r="I6" s="288">
        <f t="shared" ref="I6:I8" si="4">F6+(G6/60)+(H6/3600)</f>
        <v>3.3361111111111112</v>
      </c>
      <c r="J6" s="286">
        <f t="shared" ref="J6:J8" si="5">C6/I6/1000</f>
        <v>8.3864113238967537</v>
      </c>
      <c r="K6" s="289" t="str">
        <f t="shared" si="0"/>
        <v>7'9''</v>
      </c>
      <c r="X6" s="280">
        <v>146</v>
      </c>
      <c r="Y6" s="280" t="s">
        <v>776</v>
      </c>
      <c r="Z6" s="280" t="s">
        <v>777</v>
      </c>
      <c r="AA6" s="280" t="s">
        <v>232</v>
      </c>
      <c r="AB6" s="280" t="s">
        <v>769</v>
      </c>
      <c r="AC6" s="280" t="s">
        <v>778</v>
      </c>
      <c r="AD6" s="282">
        <v>4.3472222222222225E-2</v>
      </c>
      <c r="AE6" s="280">
        <v>14.377000000000001</v>
      </c>
      <c r="AF6" s="280">
        <v>3</v>
      </c>
    </row>
    <row r="7" spans="1:32" s="290" customFormat="1" ht="32" thickTop="1" thickBot="1">
      <c r="A7" s="283" t="s">
        <v>771</v>
      </c>
      <c r="B7" s="284" t="s">
        <v>779</v>
      </c>
      <c r="C7" s="285">
        <v>23000</v>
      </c>
      <c r="D7" s="286"/>
      <c r="E7" s="287">
        <v>0.1054282407407407</v>
      </c>
      <c r="F7" s="288">
        <f t="shared" si="1"/>
        <v>2</v>
      </c>
      <c r="G7" s="288">
        <f t="shared" si="2"/>
        <v>31</v>
      </c>
      <c r="H7" s="288">
        <f t="shared" si="3"/>
        <v>49</v>
      </c>
      <c r="I7" s="288">
        <f t="shared" si="4"/>
        <v>2.5302777777777776</v>
      </c>
      <c r="J7" s="286">
        <f t="shared" si="5"/>
        <v>9.0899110769568559</v>
      </c>
      <c r="K7" s="289" t="str">
        <f t="shared" si="0"/>
        <v>6'36''</v>
      </c>
      <c r="X7" s="280">
        <v>381</v>
      </c>
      <c r="Y7" s="280" t="s">
        <v>780</v>
      </c>
      <c r="Z7" s="280" t="s">
        <v>781</v>
      </c>
      <c r="AA7" s="280" t="s">
        <v>232</v>
      </c>
      <c r="AB7" s="280" t="s">
        <v>782</v>
      </c>
      <c r="AC7" s="280" t="s">
        <v>783</v>
      </c>
      <c r="AD7" s="282">
        <v>4.4166666666666667E-2</v>
      </c>
      <c r="AE7" s="280">
        <v>14.151</v>
      </c>
      <c r="AF7" s="280">
        <v>4</v>
      </c>
    </row>
    <row r="8" spans="1:32" s="290" customFormat="1" ht="32" thickTop="1" thickBot="1">
      <c r="A8" s="283" t="s">
        <v>771</v>
      </c>
      <c r="B8" s="291" t="s">
        <v>784</v>
      </c>
      <c r="C8" s="292">
        <v>15750</v>
      </c>
      <c r="D8" s="291"/>
      <c r="E8" s="287">
        <v>6.25E-2</v>
      </c>
      <c r="F8" s="288">
        <f t="shared" si="1"/>
        <v>1</v>
      </c>
      <c r="G8" s="288">
        <f t="shared" si="2"/>
        <v>30</v>
      </c>
      <c r="H8" s="288">
        <f t="shared" si="3"/>
        <v>0</v>
      </c>
      <c r="I8" s="288">
        <f t="shared" si="4"/>
        <v>1.5</v>
      </c>
      <c r="J8" s="286">
        <f t="shared" si="5"/>
        <v>10.5</v>
      </c>
      <c r="K8" s="289" t="str">
        <f t="shared" si="0"/>
        <v>5'42''</v>
      </c>
      <c r="X8" s="280">
        <v>325</v>
      </c>
      <c r="Y8" s="280" t="s">
        <v>785</v>
      </c>
      <c r="Z8" s="280" t="s">
        <v>786</v>
      </c>
      <c r="AA8" s="280" t="s">
        <v>232</v>
      </c>
      <c r="AB8" s="280" t="s">
        <v>769</v>
      </c>
      <c r="AC8" s="280" t="s">
        <v>783</v>
      </c>
      <c r="AD8" s="282">
        <v>4.4733796296296292E-2</v>
      </c>
      <c r="AE8" s="280">
        <v>13.972</v>
      </c>
      <c r="AF8" s="280">
        <v>5</v>
      </c>
    </row>
    <row r="9" spans="1:32" s="290" customFormat="1" ht="32" thickTop="1" thickBot="1">
      <c r="A9" s="283" t="s">
        <v>787</v>
      </c>
      <c r="B9" s="284" t="s">
        <v>788</v>
      </c>
      <c r="C9" s="285">
        <v>16000</v>
      </c>
      <c r="D9" s="286"/>
      <c r="E9" s="293" t="str">
        <f>CONCATENATE(F9,"h"," ",G9,"m"," ",TEXT(H9,"00"),"s")</f>
        <v>1h 36m 35s</v>
      </c>
      <c r="F9" s="288">
        <f>INT(I9)</f>
        <v>1</v>
      </c>
      <c r="G9" s="288">
        <f>INT(60*(I9-F9))</f>
        <v>36</v>
      </c>
      <c r="H9" s="288">
        <f>3600*(I5-F5-G5/60)</f>
        <v>35.000000000000377</v>
      </c>
      <c r="I9" s="288">
        <f>C9/J9/1000</f>
        <v>1.6</v>
      </c>
      <c r="J9" s="285">
        <v>10</v>
      </c>
      <c r="K9" s="289" t="str">
        <f t="shared" si="0"/>
        <v>6'0''</v>
      </c>
      <c r="X9" s="280">
        <v>304</v>
      </c>
      <c r="Y9" s="280" t="s">
        <v>789</v>
      </c>
      <c r="Z9" s="280" t="s">
        <v>774</v>
      </c>
      <c r="AA9" s="280" t="s">
        <v>232</v>
      </c>
      <c r="AB9" s="280" t="s">
        <v>769</v>
      </c>
      <c r="AC9" s="280" t="s">
        <v>790</v>
      </c>
      <c r="AD9" s="282">
        <v>4.5312499999999999E-2</v>
      </c>
      <c r="AE9" s="280">
        <v>13.792999999999999</v>
      </c>
      <c r="AF9" s="280">
        <v>6</v>
      </c>
    </row>
    <row r="10" spans="1:32" s="290" customFormat="1" ht="17" thickTop="1" thickBot="1">
      <c r="A10" s="283" t="s">
        <v>771</v>
      </c>
      <c r="B10" s="291" t="s">
        <v>791</v>
      </c>
      <c r="C10" s="292">
        <v>17000</v>
      </c>
      <c r="D10" s="291"/>
      <c r="E10" s="287">
        <v>7.2129629629629641E-2</v>
      </c>
      <c r="F10" s="288">
        <f t="shared" ref="F10:F35" si="6">HOUR(E10)</f>
        <v>1</v>
      </c>
      <c r="G10" s="288">
        <f t="shared" ref="G10:G35" si="7">MINUTE(E10)</f>
        <v>43</v>
      </c>
      <c r="H10" s="288">
        <f t="shared" ref="H10:H35" si="8">SECOND(E10)</f>
        <v>52</v>
      </c>
      <c r="I10" s="288">
        <f t="shared" ref="I10:I35" si="9">F10+(G10/60)+(H10/3600)</f>
        <v>1.7311111111111113</v>
      </c>
      <c r="J10" s="286">
        <f t="shared" ref="J10:J21" si="10">C10/I10/1000</f>
        <v>9.8202824133504496</v>
      </c>
      <c r="K10" s="289" t="str">
        <f t="shared" si="0"/>
        <v>6'6''</v>
      </c>
      <c r="X10" s="280">
        <v>498</v>
      </c>
      <c r="Y10" s="280" t="s">
        <v>792</v>
      </c>
      <c r="Z10" s="280" t="s">
        <v>793</v>
      </c>
      <c r="AA10" s="280" t="s">
        <v>232</v>
      </c>
      <c r="AB10" s="280" t="s">
        <v>769</v>
      </c>
      <c r="AC10" s="280" t="s">
        <v>794</v>
      </c>
      <c r="AD10" s="282">
        <v>4.5729166666666661E-2</v>
      </c>
      <c r="AE10" s="280">
        <v>13.667</v>
      </c>
      <c r="AF10" s="280">
        <v>7</v>
      </c>
    </row>
    <row r="11" spans="1:32" s="290" customFormat="1" ht="32" thickTop="1" thickBot="1">
      <c r="A11" s="283" t="s">
        <v>787</v>
      </c>
      <c r="B11" s="291" t="s">
        <v>795</v>
      </c>
      <c r="C11" s="292">
        <v>17000</v>
      </c>
      <c r="D11" s="291"/>
      <c r="E11" s="287">
        <v>5.9027777777777783E-2</v>
      </c>
      <c r="F11" s="288">
        <f t="shared" si="6"/>
        <v>1</v>
      </c>
      <c r="G11" s="288">
        <f t="shared" si="7"/>
        <v>25</v>
      </c>
      <c r="H11" s="288">
        <f t="shared" si="8"/>
        <v>0</v>
      </c>
      <c r="I11" s="288">
        <f t="shared" si="9"/>
        <v>1.4166666666666667</v>
      </c>
      <c r="J11" s="286">
        <f t="shared" si="10"/>
        <v>12</v>
      </c>
      <c r="K11" s="289" t="str">
        <f t="shared" si="0"/>
        <v>5'0''</v>
      </c>
      <c r="X11" s="280">
        <v>262</v>
      </c>
      <c r="Y11" s="280" t="s">
        <v>796</v>
      </c>
      <c r="Z11" s="280" t="s">
        <v>797</v>
      </c>
      <c r="AA11" s="280" t="s">
        <v>232</v>
      </c>
      <c r="AB11" s="280" t="s">
        <v>769</v>
      </c>
      <c r="AC11" s="280">
        <v>0</v>
      </c>
      <c r="AD11" s="282">
        <v>4.5914351851851852E-2</v>
      </c>
      <c r="AE11" s="280">
        <v>13.612</v>
      </c>
      <c r="AF11" s="280">
        <v>8</v>
      </c>
    </row>
    <row r="12" spans="1:32" s="290" customFormat="1" ht="32" thickTop="1" thickBot="1">
      <c r="A12" s="294" t="s">
        <v>771</v>
      </c>
      <c r="B12" s="295" t="s">
        <v>798</v>
      </c>
      <c r="C12" s="292">
        <v>19655</v>
      </c>
      <c r="D12" s="295">
        <v>210</v>
      </c>
      <c r="E12" s="287">
        <v>8.6631944444444442E-2</v>
      </c>
      <c r="F12" s="296">
        <f t="shared" si="6"/>
        <v>2</v>
      </c>
      <c r="G12" s="296">
        <f t="shared" si="7"/>
        <v>4</v>
      </c>
      <c r="H12" s="296">
        <f t="shared" si="8"/>
        <v>45</v>
      </c>
      <c r="I12" s="296">
        <f t="shared" si="9"/>
        <v>2.0791666666666671</v>
      </c>
      <c r="J12" s="297">
        <f t="shared" si="10"/>
        <v>9.4533066132264505</v>
      </c>
      <c r="K12" s="289" t="str">
        <f t="shared" si="0"/>
        <v>6'20''</v>
      </c>
      <c r="X12" s="280">
        <v>433</v>
      </c>
      <c r="Y12" s="280" t="s">
        <v>799</v>
      </c>
      <c r="Z12" s="280" t="s">
        <v>800</v>
      </c>
      <c r="AA12" s="280" t="s">
        <v>232</v>
      </c>
      <c r="AB12" s="280" t="s">
        <v>769</v>
      </c>
      <c r="AC12" s="280">
        <v>0</v>
      </c>
      <c r="AD12" s="282">
        <v>4.614583333333333E-2</v>
      </c>
      <c r="AE12" s="280">
        <v>13.544</v>
      </c>
      <c r="AF12" s="280">
        <v>9</v>
      </c>
    </row>
    <row r="13" spans="1:32" s="290" customFormat="1" ht="32" thickTop="1" thickBot="1">
      <c r="A13" s="283" t="s">
        <v>771</v>
      </c>
      <c r="B13" s="291" t="s">
        <v>141</v>
      </c>
      <c r="C13" s="292">
        <v>15714</v>
      </c>
      <c r="D13" s="291"/>
      <c r="E13" s="287">
        <v>6.2812499999999993E-2</v>
      </c>
      <c r="F13" s="288">
        <f t="shared" si="6"/>
        <v>1</v>
      </c>
      <c r="G13" s="288">
        <f t="shared" si="7"/>
        <v>30</v>
      </c>
      <c r="H13" s="288">
        <f t="shared" si="8"/>
        <v>27</v>
      </c>
      <c r="I13" s="288">
        <f t="shared" si="9"/>
        <v>1.5075000000000001</v>
      </c>
      <c r="J13" s="286">
        <f t="shared" si="10"/>
        <v>10.423880597014925</v>
      </c>
      <c r="K13" s="289" t="str">
        <f t="shared" si="0"/>
        <v>5'45''</v>
      </c>
      <c r="X13" s="280">
        <v>429</v>
      </c>
      <c r="Y13" s="280" t="s">
        <v>801</v>
      </c>
      <c r="Z13" s="280" t="s">
        <v>802</v>
      </c>
      <c r="AA13" s="280" t="s">
        <v>232</v>
      </c>
      <c r="AB13" s="280" t="s">
        <v>782</v>
      </c>
      <c r="AC13" s="280" t="s">
        <v>778</v>
      </c>
      <c r="AD13" s="282">
        <v>4.6446759259259257E-2</v>
      </c>
      <c r="AE13" s="280">
        <v>13.456</v>
      </c>
      <c r="AF13" s="280">
        <v>11</v>
      </c>
    </row>
    <row r="14" spans="1:32" s="290" customFormat="1" ht="32" thickTop="1" thickBot="1">
      <c r="A14" s="283" t="s">
        <v>771</v>
      </c>
      <c r="B14" s="298" t="s">
        <v>803</v>
      </c>
      <c r="C14" s="299">
        <v>16100</v>
      </c>
      <c r="D14" s="298"/>
      <c r="E14" s="287">
        <v>5.2083333333333336E-2</v>
      </c>
      <c r="F14" s="298">
        <f t="shared" si="6"/>
        <v>1</v>
      </c>
      <c r="G14" s="298">
        <f t="shared" si="7"/>
        <v>15</v>
      </c>
      <c r="H14" s="298">
        <f t="shared" si="8"/>
        <v>0</v>
      </c>
      <c r="I14" s="298">
        <f t="shared" si="9"/>
        <v>1.25</v>
      </c>
      <c r="J14" s="298">
        <f t="shared" si="10"/>
        <v>12.88</v>
      </c>
      <c r="K14" s="289" t="str">
        <f t="shared" si="0"/>
        <v>4'39''</v>
      </c>
      <c r="X14" s="280">
        <v>429</v>
      </c>
      <c r="Y14" s="280" t="s">
        <v>801</v>
      </c>
      <c r="Z14" s="280" t="s">
        <v>802</v>
      </c>
      <c r="AA14" s="280" t="s">
        <v>232</v>
      </c>
      <c r="AB14" s="280" t="s">
        <v>782</v>
      </c>
      <c r="AC14" s="280" t="s">
        <v>778</v>
      </c>
      <c r="AD14" s="282">
        <v>4.6446759259259257E-2</v>
      </c>
      <c r="AE14" s="280">
        <v>13.456</v>
      </c>
      <c r="AF14" s="280">
        <v>11</v>
      </c>
    </row>
    <row r="15" spans="1:32" s="290" customFormat="1" ht="32" thickTop="1" thickBot="1">
      <c r="A15" s="283" t="s">
        <v>771</v>
      </c>
      <c r="B15" s="291" t="s">
        <v>804</v>
      </c>
      <c r="C15" s="292">
        <v>24400</v>
      </c>
      <c r="D15" s="291"/>
      <c r="E15" s="287">
        <v>0.11012731481481482</v>
      </c>
      <c r="F15" s="288">
        <f t="shared" si="6"/>
        <v>2</v>
      </c>
      <c r="G15" s="288">
        <f t="shared" si="7"/>
        <v>38</v>
      </c>
      <c r="H15" s="288">
        <f t="shared" si="8"/>
        <v>35</v>
      </c>
      <c r="I15" s="288">
        <f t="shared" si="9"/>
        <v>2.6430555555555557</v>
      </c>
      <c r="J15" s="286">
        <f t="shared" si="10"/>
        <v>9.2317393589069887</v>
      </c>
      <c r="K15" s="289" t="str">
        <f t="shared" si="0"/>
        <v>6'29''</v>
      </c>
      <c r="X15" s="280">
        <v>429</v>
      </c>
      <c r="Y15" s="280" t="s">
        <v>801</v>
      </c>
      <c r="Z15" s="280" t="s">
        <v>802</v>
      </c>
      <c r="AA15" s="280" t="s">
        <v>232</v>
      </c>
      <c r="AB15" s="280" t="s">
        <v>782</v>
      </c>
      <c r="AC15" s="280" t="s">
        <v>778</v>
      </c>
      <c r="AD15" s="282">
        <v>4.6446759259259257E-2</v>
      </c>
      <c r="AE15" s="280">
        <v>13.456</v>
      </c>
      <c r="AF15" s="280">
        <v>11</v>
      </c>
    </row>
    <row r="16" spans="1:32" s="290" customFormat="1" ht="32" thickTop="1" thickBot="1">
      <c r="A16" s="283" t="s">
        <v>771</v>
      </c>
      <c r="B16" s="291" t="s">
        <v>805</v>
      </c>
      <c r="C16" s="292">
        <v>51000</v>
      </c>
      <c r="D16" s="291">
        <v>1700</v>
      </c>
      <c r="E16" s="287">
        <v>0.3125</v>
      </c>
      <c r="F16" s="288">
        <f t="shared" si="6"/>
        <v>7</v>
      </c>
      <c r="G16" s="288">
        <f t="shared" si="7"/>
        <v>30</v>
      </c>
      <c r="H16" s="288">
        <f t="shared" si="8"/>
        <v>0</v>
      </c>
      <c r="I16" s="288">
        <f t="shared" si="9"/>
        <v>7.5</v>
      </c>
      <c r="J16" s="286">
        <f t="shared" si="10"/>
        <v>6.8</v>
      </c>
      <c r="K16" s="289" t="str">
        <f t="shared" si="0"/>
        <v>8'49''</v>
      </c>
      <c r="X16" s="280">
        <v>429</v>
      </c>
      <c r="Y16" s="280" t="s">
        <v>801</v>
      </c>
      <c r="Z16" s="280" t="s">
        <v>802</v>
      </c>
      <c r="AA16" s="280" t="s">
        <v>232</v>
      </c>
      <c r="AB16" s="280" t="s">
        <v>782</v>
      </c>
      <c r="AC16" s="280" t="s">
        <v>778</v>
      </c>
      <c r="AD16" s="282">
        <v>4.6446759259259257E-2</v>
      </c>
      <c r="AE16" s="280">
        <v>13.456</v>
      </c>
      <c r="AF16" s="280">
        <v>11</v>
      </c>
    </row>
    <row r="17" spans="1:32" s="290" customFormat="1" ht="32" thickTop="1" thickBot="1">
      <c r="A17" s="294" t="s">
        <v>787</v>
      </c>
      <c r="B17" s="291" t="s">
        <v>804</v>
      </c>
      <c r="C17" s="292">
        <v>24400</v>
      </c>
      <c r="D17" s="291"/>
      <c r="E17" s="287">
        <v>0.10416666666666667</v>
      </c>
      <c r="F17" s="288">
        <f t="shared" si="6"/>
        <v>2</v>
      </c>
      <c r="G17" s="288">
        <f t="shared" si="7"/>
        <v>30</v>
      </c>
      <c r="H17" s="288">
        <f t="shared" si="8"/>
        <v>0</v>
      </c>
      <c r="I17" s="288">
        <f t="shared" si="9"/>
        <v>2.5</v>
      </c>
      <c r="J17" s="286">
        <f t="shared" si="10"/>
        <v>9.76</v>
      </c>
      <c r="K17" s="289" t="str">
        <f t="shared" si="0"/>
        <v>6'8''</v>
      </c>
      <c r="X17" s="280">
        <v>199</v>
      </c>
      <c r="Y17" s="280" t="s">
        <v>806</v>
      </c>
      <c r="Z17" s="280" t="s">
        <v>807</v>
      </c>
      <c r="AA17" s="280" t="s">
        <v>232</v>
      </c>
      <c r="AB17" s="280" t="s">
        <v>769</v>
      </c>
      <c r="AC17" s="280" t="s">
        <v>808</v>
      </c>
      <c r="AD17" s="282">
        <v>4.6226851851851852E-2</v>
      </c>
      <c r="AE17" s="280">
        <v>13.52</v>
      </c>
      <c r="AF17" s="280">
        <v>10</v>
      </c>
    </row>
    <row r="18" spans="1:32" s="290" customFormat="1" ht="32" thickTop="1" thickBot="1">
      <c r="A18" s="294" t="s">
        <v>787</v>
      </c>
      <c r="B18" s="295" t="s">
        <v>809</v>
      </c>
      <c r="C18" s="292">
        <v>26000</v>
      </c>
      <c r="D18" s="298">
        <v>1150</v>
      </c>
      <c r="E18" s="287">
        <v>0.14583333333333334</v>
      </c>
      <c r="F18" s="288">
        <f t="shared" si="6"/>
        <v>3</v>
      </c>
      <c r="G18" s="288">
        <f t="shared" si="7"/>
        <v>30</v>
      </c>
      <c r="H18" s="288">
        <f t="shared" si="8"/>
        <v>0</v>
      </c>
      <c r="I18" s="288">
        <f t="shared" si="9"/>
        <v>3.5</v>
      </c>
      <c r="J18" s="286">
        <f t="shared" si="10"/>
        <v>7.4285714285714288</v>
      </c>
      <c r="K18" s="289" t="str">
        <f t="shared" si="0"/>
        <v>8'4''</v>
      </c>
      <c r="X18" s="280">
        <v>199</v>
      </c>
      <c r="Y18" s="280" t="s">
        <v>806</v>
      </c>
      <c r="Z18" s="280" t="s">
        <v>807</v>
      </c>
      <c r="AA18" s="280" t="s">
        <v>232</v>
      </c>
      <c r="AB18" s="280" t="s">
        <v>769</v>
      </c>
      <c r="AC18" s="280" t="s">
        <v>808</v>
      </c>
      <c r="AD18" s="282">
        <v>4.6226851851851852E-2</v>
      </c>
      <c r="AE18" s="280">
        <v>13.52</v>
      </c>
      <c r="AF18" s="280">
        <v>10</v>
      </c>
    </row>
    <row r="19" spans="1:32" s="290" customFormat="1" ht="32" thickTop="1" thickBot="1">
      <c r="A19" s="294" t="s">
        <v>787</v>
      </c>
      <c r="B19" s="295" t="s">
        <v>810</v>
      </c>
      <c r="C19" s="292">
        <v>5600</v>
      </c>
      <c r="D19" s="298"/>
      <c r="E19" s="287">
        <v>7.0601851851851841E-3</v>
      </c>
      <c r="F19" s="288">
        <f t="shared" si="6"/>
        <v>0</v>
      </c>
      <c r="G19" s="288">
        <f t="shared" si="7"/>
        <v>10</v>
      </c>
      <c r="H19" s="288">
        <f t="shared" si="8"/>
        <v>10</v>
      </c>
      <c r="I19" s="288">
        <f t="shared" si="9"/>
        <v>0.16944444444444443</v>
      </c>
      <c r="J19" s="286">
        <f t="shared" si="10"/>
        <v>33.049180327868854</v>
      </c>
      <c r="K19" s="289" t="str">
        <f t="shared" si="0"/>
        <v>1'48''</v>
      </c>
      <c r="X19" s="280">
        <v>199</v>
      </c>
      <c r="Y19" s="280" t="s">
        <v>806</v>
      </c>
      <c r="Z19" s="280" t="s">
        <v>807</v>
      </c>
      <c r="AA19" s="280" t="s">
        <v>232</v>
      </c>
      <c r="AB19" s="280" t="s">
        <v>769</v>
      </c>
      <c r="AC19" s="280" t="s">
        <v>808</v>
      </c>
      <c r="AD19" s="282">
        <v>4.6226851851851852E-2</v>
      </c>
      <c r="AE19" s="280">
        <v>13.52</v>
      </c>
      <c r="AF19" s="280">
        <v>10</v>
      </c>
    </row>
    <row r="20" spans="1:32" s="290" customFormat="1" ht="17" thickTop="1" thickBot="1">
      <c r="A20" s="283" t="s">
        <v>811</v>
      </c>
      <c r="B20" s="295" t="s">
        <v>90</v>
      </c>
      <c r="C20" s="292">
        <v>42195</v>
      </c>
      <c r="D20" s="298"/>
      <c r="E20" s="293">
        <v>0.15625</v>
      </c>
      <c r="F20" s="298">
        <f t="shared" si="6"/>
        <v>3</v>
      </c>
      <c r="G20" s="298">
        <f t="shared" si="7"/>
        <v>45</v>
      </c>
      <c r="H20" s="298">
        <f t="shared" si="8"/>
        <v>0</v>
      </c>
      <c r="I20" s="298">
        <f t="shared" si="9"/>
        <v>3.75</v>
      </c>
      <c r="J20" s="298">
        <f t="shared" si="10"/>
        <v>11.252000000000001</v>
      </c>
      <c r="K20" s="289" t="str">
        <f t="shared" si="0"/>
        <v>5'19''</v>
      </c>
      <c r="X20" s="280">
        <v>225</v>
      </c>
      <c r="Y20" s="280" t="s">
        <v>812</v>
      </c>
      <c r="Z20" s="280" t="s">
        <v>813</v>
      </c>
      <c r="AA20" s="280" t="s">
        <v>232</v>
      </c>
      <c r="AB20" s="280" t="s">
        <v>769</v>
      </c>
      <c r="AC20" s="280">
        <v>0</v>
      </c>
      <c r="AD20" s="282">
        <v>4.8900462962962965E-2</v>
      </c>
      <c r="AE20" s="280">
        <v>12.781000000000001</v>
      </c>
      <c r="AF20" s="280">
        <v>19</v>
      </c>
    </row>
    <row r="21" spans="1:32" s="290" customFormat="1" ht="17" thickTop="1" thickBot="1">
      <c r="A21" s="283" t="s">
        <v>811</v>
      </c>
      <c r="B21" s="295" t="s">
        <v>90</v>
      </c>
      <c r="C21" s="292">
        <v>42195</v>
      </c>
      <c r="D21" s="298"/>
      <c r="E21" s="293">
        <v>0.14583333333333334</v>
      </c>
      <c r="F21" s="298">
        <f t="shared" si="6"/>
        <v>3</v>
      </c>
      <c r="G21" s="298">
        <f t="shared" si="7"/>
        <v>30</v>
      </c>
      <c r="H21" s="298">
        <f t="shared" si="8"/>
        <v>0</v>
      </c>
      <c r="I21" s="298">
        <f t="shared" si="9"/>
        <v>3.5</v>
      </c>
      <c r="J21" s="298">
        <f t="shared" si="10"/>
        <v>12.055714285714286</v>
      </c>
      <c r="K21" s="289" t="str">
        <f t="shared" si="0"/>
        <v>4'58''</v>
      </c>
      <c r="X21" s="280">
        <v>503</v>
      </c>
      <c r="Y21" s="280" t="s">
        <v>814</v>
      </c>
      <c r="Z21" s="280" t="s">
        <v>815</v>
      </c>
      <c r="AA21" s="280" t="s">
        <v>232</v>
      </c>
      <c r="AB21" s="280" t="s">
        <v>769</v>
      </c>
      <c r="AC21" s="280">
        <v>0</v>
      </c>
      <c r="AD21" s="282">
        <v>4.8912037037037039E-2</v>
      </c>
      <c r="AE21" s="280">
        <v>12.778</v>
      </c>
      <c r="AF21" s="280">
        <v>20</v>
      </c>
    </row>
    <row r="22" spans="1:32" s="290" customFormat="1" ht="17" thickTop="1" thickBot="1">
      <c r="A22" s="300" t="s">
        <v>816</v>
      </c>
      <c r="B22" s="295" t="s">
        <v>817</v>
      </c>
      <c r="C22" s="292">
        <v>21000</v>
      </c>
      <c r="D22" s="298"/>
      <c r="E22" s="293">
        <f>VALUE(CONCATENATE(RIGHT(CONCATENATE("0",INT(C22/(1000*J22))),2),":",INT(60*(C22/(1000*J22)-INT(C22/(1000*J22)))),":","00"))</f>
        <v>7.2916666666666671E-2</v>
      </c>
      <c r="F22" s="298">
        <f t="shared" si="6"/>
        <v>1</v>
      </c>
      <c r="G22" s="298">
        <f t="shared" si="7"/>
        <v>45</v>
      </c>
      <c r="H22" s="298">
        <f t="shared" si="8"/>
        <v>0</v>
      </c>
      <c r="I22" s="298">
        <f t="shared" si="9"/>
        <v>1.75</v>
      </c>
      <c r="J22" s="292">
        <v>12</v>
      </c>
      <c r="K22" s="289" t="str">
        <f t="shared" si="0"/>
        <v>5'0''</v>
      </c>
      <c r="X22" s="280">
        <v>344</v>
      </c>
      <c r="Y22" s="280" t="s">
        <v>780</v>
      </c>
      <c r="Z22" s="280" t="s">
        <v>818</v>
      </c>
      <c r="AA22" s="280" t="s">
        <v>232</v>
      </c>
      <c r="AB22" s="280" t="s">
        <v>819</v>
      </c>
      <c r="AC22" s="280" t="s">
        <v>820</v>
      </c>
      <c r="AD22" s="282">
        <v>4.8935185185185186E-2</v>
      </c>
      <c r="AE22" s="280">
        <v>12.772</v>
      </c>
      <c r="AF22" s="280">
        <v>22</v>
      </c>
    </row>
    <row r="23" spans="1:32" s="290" customFormat="1" ht="23" customHeight="1" thickTop="1" thickBot="1">
      <c r="A23" s="283" t="s">
        <v>787</v>
      </c>
      <c r="B23" s="295" t="s">
        <v>89</v>
      </c>
      <c r="C23" s="292">
        <v>21000</v>
      </c>
      <c r="D23" s="298"/>
      <c r="E23" s="287">
        <v>6.25E-2</v>
      </c>
      <c r="F23" s="298">
        <f t="shared" si="6"/>
        <v>1</v>
      </c>
      <c r="G23" s="298">
        <f t="shared" si="7"/>
        <v>30</v>
      </c>
      <c r="H23" s="298">
        <f t="shared" si="8"/>
        <v>0</v>
      </c>
      <c r="I23" s="298">
        <f t="shared" si="9"/>
        <v>1.5</v>
      </c>
      <c r="J23" s="298">
        <f t="shared" ref="J23:J24" si="11">C23/I23/1000</f>
        <v>14</v>
      </c>
      <c r="K23" s="289" t="str">
        <f t="shared" si="0"/>
        <v>4'17''</v>
      </c>
      <c r="X23" s="280">
        <v>199</v>
      </c>
      <c r="Y23" s="280" t="s">
        <v>806</v>
      </c>
      <c r="Z23" s="280" t="s">
        <v>807</v>
      </c>
      <c r="AA23" s="280" t="s">
        <v>232</v>
      </c>
      <c r="AB23" s="280" t="s">
        <v>769</v>
      </c>
      <c r="AC23" s="280" t="s">
        <v>808</v>
      </c>
      <c r="AD23" s="282">
        <v>4.6226851851851852E-2</v>
      </c>
      <c r="AE23" s="280">
        <v>13.52</v>
      </c>
      <c r="AF23" s="280">
        <v>10</v>
      </c>
    </row>
    <row r="24" spans="1:32" s="290" customFormat="1" ht="23" customHeight="1" thickTop="1" thickBot="1">
      <c r="A24" s="283" t="s">
        <v>787</v>
      </c>
      <c r="B24" s="295" t="s">
        <v>89</v>
      </c>
      <c r="C24" s="292">
        <v>21000</v>
      </c>
      <c r="D24" s="298"/>
      <c r="E24" s="287">
        <v>6.9444444444444434E-2</v>
      </c>
      <c r="F24" s="298">
        <f t="shared" si="6"/>
        <v>1</v>
      </c>
      <c r="G24" s="298">
        <f t="shared" si="7"/>
        <v>40</v>
      </c>
      <c r="H24" s="298">
        <f t="shared" si="8"/>
        <v>0</v>
      </c>
      <c r="I24" s="298">
        <f t="shared" si="9"/>
        <v>1.6666666666666665</v>
      </c>
      <c r="J24" s="298">
        <f t="shared" si="11"/>
        <v>12.600000000000001</v>
      </c>
      <c r="K24" s="289" t="str">
        <f t="shared" si="0"/>
        <v>4'45''</v>
      </c>
      <c r="X24" s="280">
        <v>199</v>
      </c>
      <c r="Y24" s="280" t="s">
        <v>806</v>
      </c>
      <c r="Z24" s="280" t="s">
        <v>807</v>
      </c>
      <c r="AA24" s="280" t="s">
        <v>232</v>
      </c>
      <c r="AB24" s="280" t="s">
        <v>769</v>
      </c>
      <c r="AC24" s="280" t="s">
        <v>808</v>
      </c>
      <c r="AD24" s="282">
        <v>4.6226851851851852E-2</v>
      </c>
      <c r="AE24" s="280">
        <v>13.52</v>
      </c>
      <c r="AF24" s="280">
        <v>10</v>
      </c>
    </row>
    <row r="25" spans="1:32" s="290" customFormat="1" ht="22" customHeight="1" thickTop="1" thickBot="1">
      <c r="A25" s="300" t="s">
        <v>816</v>
      </c>
      <c r="B25" s="291" t="s">
        <v>821</v>
      </c>
      <c r="C25" s="292">
        <v>14000</v>
      </c>
      <c r="D25" s="291"/>
      <c r="E25" s="293">
        <f>VALUE(CONCATENATE(RIGHT(CONCATENATE("0",INT(C25/(1000*J25))),2),":",INT(60*(C25/(1000*J25)-INT(C25/(1000*J25)))),":","00"))</f>
        <v>5.8333333333333327E-2</v>
      </c>
      <c r="F25" s="298">
        <f t="shared" si="6"/>
        <v>1</v>
      </c>
      <c r="G25" s="298">
        <f t="shared" si="7"/>
        <v>24</v>
      </c>
      <c r="H25" s="298">
        <f t="shared" si="8"/>
        <v>0</v>
      </c>
      <c r="I25" s="298">
        <f t="shared" si="9"/>
        <v>1.4</v>
      </c>
      <c r="J25" s="292">
        <v>10</v>
      </c>
      <c r="K25" s="289" t="str">
        <f t="shared" si="0"/>
        <v>6'0''</v>
      </c>
      <c r="X25" s="280">
        <v>325</v>
      </c>
      <c r="Y25" s="280" t="s">
        <v>785</v>
      </c>
      <c r="Z25" s="280" t="s">
        <v>786</v>
      </c>
      <c r="AA25" s="280" t="s">
        <v>232</v>
      </c>
      <c r="AB25" s="280" t="s">
        <v>769</v>
      </c>
      <c r="AC25" s="280" t="s">
        <v>783</v>
      </c>
      <c r="AD25" s="282">
        <v>4.4733796296296292E-2</v>
      </c>
      <c r="AE25" s="280">
        <v>13.972</v>
      </c>
      <c r="AF25" s="280">
        <v>5</v>
      </c>
    </row>
    <row r="26" spans="1:32" s="290" customFormat="1" ht="32" thickTop="1" thickBot="1">
      <c r="A26" s="283" t="s">
        <v>771</v>
      </c>
      <c r="B26" s="284" t="s">
        <v>822</v>
      </c>
      <c r="C26" s="285">
        <v>23000</v>
      </c>
      <c r="D26" s="286"/>
      <c r="E26" s="287">
        <v>0.10738425925925926</v>
      </c>
      <c r="F26" s="288">
        <f t="shared" si="6"/>
        <v>2</v>
      </c>
      <c r="G26" s="288">
        <f t="shared" si="7"/>
        <v>34</v>
      </c>
      <c r="H26" s="288">
        <f t="shared" si="8"/>
        <v>38</v>
      </c>
      <c r="I26" s="288">
        <f t="shared" si="9"/>
        <v>2.5772222222222219</v>
      </c>
      <c r="J26" s="286">
        <f t="shared" ref="J26:J29" si="12">C26/I26/1000</f>
        <v>8.9243371416253527</v>
      </c>
      <c r="K26" s="289" t="str">
        <f t="shared" si="0"/>
        <v>6'43''</v>
      </c>
      <c r="X26" s="280">
        <v>381</v>
      </c>
      <c r="Y26" s="280" t="s">
        <v>780</v>
      </c>
      <c r="Z26" s="280" t="s">
        <v>781</v>
      </c>
      <c r="AA26" s="280" t="s">
        <v>232</v>
      </c>
      <c r="AB26" s="280" t="s">
        <v>782</v>
      </c>
      <c r="AC26" s="280" t="s">
        <v>783</v>
      </c>
      <c r="AD26" s="282">
        <v>4.4166666666666667E-2</v>
      </c>
      <c r="AE26" s="280">
        <v>14.151</v>
      </c>
      <c r="AF26" s="280">
        <v>4</v>
      </c>
    </row>
    <row r="27" spans="1:32" s="290" customFormat="1" ht="32" thickTop="1" thickBot="1">
      <c r="A27" s="283" t="s">
        <v>771</v>
      </c>
      <c r="B27" s="284" t="s">
        <v>823</v>
      </c>
      <c r="C27" s="285">
        <v>21000</v>
      </c>
      <c r="D27" s="286"/>
      <c r="E27" s="287">
        <v>7.7777777777777779E-2</v>
      </c>
      <c r="F27" s="288">
        <f t="shared" si="6"/>
        <v>1</v>
      </c>
      <c r="G27" s="288">
        <f t="shared" si="7"/>
        <v>52</v>
      </c>
      <c r="H27" s="288">
        <f t="shared" si="8"/>
        <v>0</v>
      </c>
      <c r="I27" s="288">
        <f t="shared" si="9"/>
        <v>1.8666666666666667</v>
      </c>
      <c r="J27" s="286">
        <f t="shared" si="12"/>
        <v>11.25</v>
      </c>
      <c r="K27" s="289" t="str">
        <f t="shared" si="0"/>
        <v>5'20''</v>
      </c>
      <c r="X27" s="280">
        <v>381</v>
      </c>
      <c r="Y27" s="280" t="s">
        <v>780</v>
      </c>
      <c r="Z27" s="280" t="s">
        <v>781</v>
      </c>
      <c r="AA27" s="280" t="s">
        <v>232</v>
      </c>
      <c r="AB27" s="280" t="s">
        <v>782</v>
      </c>
      <c r="AC27" s="280" t="s">
        <v>783</v>
      </c>
      <c r="AD27" s="282">
        <v>4.4166666666666667E-2</v>
      </c>
      <c r="AE27" s="280">
        <v>14.151</v>
      </c>
      <c r="AF27" s="280">
        <v>4</v>
      </c>
    </row>
    <row r="28" spans="1:32" ht="17" thickTop="1" thickBot="1">
      <c r="A28" s="283" t="s">
        <v>771</v>
      </c>
      <c r="B28" s="284" t="s">
        <v>824</v>
      </c>
      <c r="C28" s="285">
        <v>21000</v>
      </c>
      <c r="D28" s="286"/>
      <c r="E28" s="287">
        <v>7.8807870370370361E-2</v>
      </c>
      <c r="F28" s="288">
        <f t="shared" si="6"/>
        <v>1</v>
      </c>
      <c r="G28" s="288">
        <f t="shared" si="7"/>
        <v>53</v>
      </c>
      <c r="H28" s="288">
        <f t="shared" si="8"/>
        <v>29</v>
      </c>
      <c r="I28" s="288">
        <f t="shared" si="9"/>
        <v>1.8913888888888888</v>
      </c>
      <c r="J28" s="286">
        <f t="shared" si="12"/>
        <v>11.102951975326775</v>
      </c>
      <c r="K28" s="289" t="str">
        <f t="shared" si="0"/>
        <v>5'24''</v>
      </c>
      <c r="X28" s="280">
        <v>355</v>
      </c>
      <c r="Y28" s="280" t="s">
        <v>825</v>
      </c>
      <c r="Z28" s="280" t="s">
        <v>826</v>
      </c>
      <c r="AA28" s="280" t="s">
        <v>232</v>
      </c>
      <c r="AB28" s="280" t="s">
        <v>769</v>
      </c>
      <c r="AC28" s="280">
        <v>0</v>
      </c>
      <c r="AD28" s="282">
        <v>4.9999999999999996E-2</v>
      </c>
      <c r="AE28" s="280">
        <v>12.5</v>
      </c>
      <c r="AF28" s="280">
        <v>29</v>
      </c>
    </row>
    <row r="29" spans="1:32" ht="17" thickTop="1" thickBot="1">
      <c r="A29" s="283" t="s">
        <v>771</v>
      </c>
      <c r="B29" s="284" t="s">
        <v>827</v>
      </c>
      <c r="C29" s="285">
        <v>8000</v>
      </c>
      <c r="D29" s="286"/>
      <c r="E29" s="287">
        <v>3.2638888888888891E-2</v>
      </c>
      <c r="F29" s="288">
        <f t="shared" si="6"/>
        <v>0</v>
      </c>
      <c r="G29" s="288">
        <f t="shared" si="7"/>
        <v>47</v>
      </c>
      <c r="H29" s="288">
        <f t="shared" si="8"/>
        <v>0</v>
      </c>
      <c r="I29" s="288">
        <f t="shared" si="9"/>
        <v>0.78333333333333333</v>
      </c>
      <c r="J29" s="286">
        <f t="shared" si="12"/>
        <v>10.212765957446809</v>
      </c>
      <c r="K29" s="289" t="str">
        <f t="shared" si="0"/>
        <v>5'52''</v>
      </c>
      <c r="X29" s="280">
        <v>355</v>
      </c>
      <c r="Y29" s="280" t="s">
        <v>825</v>
      </c>
      <c r="Z29" s="280" t="s">
        <v>826</v>
      </c>
      <c r="AA29" s="280" t="s">
        <v>232</v>
      </c>
      <c r="AB29" s="280" t="s">
        <v>769</v>
      </c>
      <c r="AC29" s="280">
        <v>0</v>
      </c>
      <c r="AD29" s="282">
        <v>4.9999999999999996E-2</v>
      </c>
      <c r="AE29" s="280">
        <v>12.5</v>
      </c>
      <c r="AF29" s="280">
        <v>29</v>
      </c>
    </row>
    <row r="30" spans="1:32" s="290" customFormat="1" ht="22" customHeight="1" thickTop="1" thickBot="1">
      <c r="A30" s="300" t="s">
        <v>828</v>
      </c>
      <c r="B30" s="291" t="s">
        <v>112</v>
      </c>
      <c r="C30" s="292">
        <v>10000</v>
      </c>
      <c r="D30" s="291"/>
      <c r="E30" s="293">
        <f>VALUE(CONCATENATE(RIGHT(CONCATENATE("0",INT(C30/(1000*J30))),2),":",INT(60*(C30/(1000*J30)-INT(C30/(1000*J30)))),":","00"))</f>
        <v>3.4722222222222224E-2</v>
      </c>
      <c r="F30" s="298">
        <f t="shared" si="6"/>
        <v>0</v>
      </c>
      <c r="G30" s="298">
        <f t="shared" si="7"/>
        <v>50</v>
      </c>
      <c r="H30" s="298">
        <f t="shared" si="8"/>
        <v>0</v>
      </c>
      <c r="I30" s="298">
        <f t="shared" si="9"/>
        <v>0.83333333333333337</v>
      </c>
      <c r="J30" s="292">
        <v>12</v>
      </c>
      <c r="K30" s="289" t="str">
        <f t="shared" si="0"/>
        <v>5'0''</v>
      </c>
      <c r="X30" s="280">
        <v>325</v>
      </c>
      <c r="Y30" s="280" t="s">
        <v>785</v>
      </c>
      <c r="Z30" s="280" t="s">
        <v>786</v>
      </c>
      <c r="AA30" s="280" t="s">
        <v>232</v>
      </c>
      <c r="AB30" s="280" t="s">
        <v>769</v>
      </c>
      <c r="AC30" s="280" t="s">
        <v>783</v>
      </c>
      <c r="AD30" s="282">
        <v>4.4733796296296292E-2</v>
      </c>
      <c r="AE30" s="280">
        <v>13.972</v>
      </c>
      <c r="AF30" s="280">
        <v>5</v>
      </c>
    </row>
    <row r="31" spans="1:32" s="290" customFormat="1" ht="23" customHeight="1" thickTop="1" thickBot="1">
      <c r="A31" s="283" t="s">
        <v>787</v>
      </c>
      <c r="B31" s="295" t="s">
        <v>89</v>
      </c>
      <c r="C31" s="292">
        <v>21100</v>
      </c>
      <c r="D31" s="298"/>
      <c r="E31" s="287">
        <v>7.3263888888888892E-2</v>
      </c>
      <c r="F31" s="298">
        <f t="shared" si="6"/>
        <v>1</v>
      </c>
      <c r="G31" s="298">
        <f t="shared" si="7"/>
        <v>45</v>
      </c>
      <c r="H31" s="298">
        <f t="shared" si="8"/>
        <v>30</v>
      </c>
      <c r="I31" s="298">
        <f t="shared" si="9"/>
        <v>1.7583333333333333</v>
      </c>
      <c r="J31" s="298">
        <f t="shared" ref="J31:J34" si="13">C31/I31/1000</f>
        <v>12</v>
      </c>
      <c r="K31" s="289" t="str">
        <f t="shared" si="0"/>
        <v>5'0''</v>
      </c>
      <c r="X31" s="280">
        <v>199</v>
      </c>
      <c r="Y31" s="280" t="s">
        <v>806</v>
      </c>
      <c r="Z31" s="280" t="s">
        <v>807</v>
      </c>
      <c r="AA31" s="280" t="s">
        <v>232</v>
      </c>
      <c r="AB31" s="280" t="s">
        <v>769</v>
      </c>
      <c r="AC31" s="280" t="s">
        <v>808</v>
      </c>
      <c r="AD31" s="282">
        <v>4.6226851851851852E-2</v>
      </c>
      <c r="AE31" s="280">
        <v>13.52</v>
      </c>
      <c r="AF31" s="280">
        <v>10</v>
      </c>
    </row>
    <row r="32" spans="1:32" ht="20" customHeight="1" thickTop="1" thickBot="1">
      <c r="A32" s="283" t="s">
        <v>787</v>
      </c>
      <c r="B32" s="295" t="s">
        <v>112</v>
      </c>
      <c r="C32" s="292">
        <v>10000</v>
      </c>
      <c r="D32" s="298"/>
      <c r="E32" s="287">
        <v>3.125E-2</v>
      </c>
      <c r="F32" s="298">
        <f t="shared" si="6"/>
        <v>0</v>
      </c>
      <c r="G32" s="298">
        <f t="shared" si="7"/>
        <v>45</v>
      </c>
      <c r="H32" s="298">
        <f t="shared" si="8"/>
        <v>0</v>
      </c>
      <c r="I32" s="298">
        <f t="shared" si="9"/>
        <v>0.75</v>
      </c>
      <c r="J32" s="298">
        <f t="shared" si="13"/>
        <v>13.333333333333334</v>
      </c>
      <c r="K32" s="289" t="str">
        <f t="shared" si="0"/>
        <v>4'30''</v>
      </c>
      <c r="X32" s="280">
        <v>475</v>
      </c>
      <c r="Y32" s="280" t="s">
        <v>829</v>
      </c>
      <c r="Z32" s="280" t="s">
        <v>830</v>
      </c>
      <c r="AA32" s="280" t="s">
        <v>232</v>
      </c>
      <c r="AB32" s="280" t="s">
        <v>831</v>
      </c>
      <c r="AC32" s="280" t="s">
        <v>832</v>
      </c>
      <c r="AD32" s="282">
        <v>5.0300925925925923E-2</v>
      </c>
      <c r="AE32" s="280">
        <v>12.425000000000001</v>
      </c>
      <c r="AF32" s="280">
        <v>33</v>
      </c>
    </row>
    <row r="33" spans="1:32" ht="20" customHeight="1" thickTop="1" thickBot="1">
      <c r="A33" s="283" t="s">
        <v>787</v>
      </c>
      <c r="B33" s="295" t="s">
        <v>833</v>
      </c>
      <c r="C33" s="292">
        <v>42295</v>
      </c>
      <c r="D33" s="298"/>
      <c r="E33" s="287">
        <v>0.15625</v>
      </c>
      <c r="F33" s="298">
        <f t="shared" si="6"/>
        <v>3</v>
      </c>
      <c r="G33" s="298">
        <f t="shared" si="7"/>
        <v>45</v>
      </c>
      <c r="H33" s="298">
        <f t="shared" si="8"/>
        <v>0</v>
      </c>
      <c r="I33" s="298">
        <f t="shared" si="9"/>
        <v>3.75</v>
      </c>
      <c r="J33" s="298">
        <f t="shared" si="13"/>
        <v>11.278666666666666</v>
      </c>
      <c r="K33" s="289" t="str">
        <f t="shared" si="0"/>
        <v>5'19''</v>
      </c>
      <c r="X33" s="280">
        <v>475</v>
      </c>
      <c r="Y33" s="280" t="s">
        <v>829</v>
      </c>
      <c r="Z33" s="280" t="s">
        <v>830</v>
      </c>
      <c r="AA33" s="280" t="s">
        <v>232</v>
      </c>
      <c r="AB33" s="280" t="s">
        <v>831</v>
      </c>
      <c r="AC33" s="280" t="s">
        <v>832</v>
      </c>
      <c r="AD33" s="282">
        <v>5.0300925925925923E-2</v>
      </c>
      <c r="AE33" s="280">
        <v>12.425000000000001</v>
      </c>
      <c r="AF33" s="280">
        <v>33</v>
      </c>
    </row>
    <row r="34" spans="1:32" ht="20" customHeight="1" thickTop="1" thickBot="1">
      <c r="A34" s="283" t="s">
        <v>787</v>
      </c>
      <c r="B34" s="295" t="s">
        <v>834</v>
      </c>
      <c r="C34" s="292">
        <v>42295</v>
      </c>
      <c r="D34" s="298"/>
      <c r="E34" s="287">
        <v>0.14583333333333334</v>
      </c>
      <c r="F34" s="298">
        <f t="shared" si="6"/>
        <v>3</v>
      </c>
      <c r="G34" s="298">
        <f t="shared" si="7"/>
        <v>30</v>
      </c>
      <c r="H34" s="298">
        <f t="shared" si="8"/>
        <v>0</v>
      </c>
      <c r="I34" s="298">
        <f t="shared" si="9"/>
        <v>3.5</v>
      </c>
      <c r="J34" s="298">
        <f t="shared" si="13"/>
        <v>12.084285714285715</v>
      </c>
      <c r="K34" s="289" t="str">
        <f t="shared" si="0"/>
        <v>4'57''</v>
      </c>
      <c r="X34" s="280">
        <v>475</v>
      </c>
      <c r="Y34" s="280" t="s">
        <v>829</v>
      </c>
      <c r="Z34" s="280" t="s">
        <v>830</v>
      </c>
      <c r="AA34" s="280" t="s">
        <v>232</v>
      </c>
      <c r="AB34" s="280" t="s">
        <v>831</v>
      </c>
      <c r="AC34" s="280" t="s">
        <v>832</v>
      </c>
      <c r="AD34" s="282">
        <v>5.0300925925925923E-2</v>
      </c>
      <c r="AE34" s="280">
        <v>12.425000000000001</v>
      </c>
      <c r="AF34" s="280">
        <v>33</v>
      </c>
    </row>
    <row r="35" spans="1:32" s="290" customFormat="1" ht="22" customHeight="1" thickTop="1" thickBot="1">
      <c r="A35" s="300" t="s">
        <v>828</v>
      </c>
      <c r="B35" s="291" t="s">
        <v>835</v>
      </c>
      <c r="C35" s="292">
        <v>23300</v>
      </c>
      <c r="D35" s="291"/>
      <c r="E35" s="293">
        <f>VALUE(CONCATENATE(RIGHT(CONCATENATE("0",INT(C35/(1000*J35))),2),":",INT(60*(C35/(1000*J35)-INT(C35/(1000*J35)))),":","00"))</f>
        <v>9.2361111111111116E-2</v>
      </c>
      <c r="F35" s="298">
        <f t="shared" si="6"/>
        <v>2</v>
      </c>
      <c r="G35" s="298">
        <f t="shared" si="7"/>
        <v>13</v>
      </c>
      <c r="H35" s="298">
        <f t="shared" si="8"/>
        <v>0</v>
      </c>
      <c r="I35" s="298">
        <f t="shared" si="9"/>
        <v>2.2166666666666668</v>
      </c>
      <c r="J35" s="292">
        <v>10.5</v>
      </c>
      <c r="K35" s="289" t="str">
        <f t="shared" si="0"/>
        <v>5'42''</v>
      </c>
      <c r="X35" s="280">
        <v>325</v>
      </c>
      <c r="Y35" s="280" t="s">
        <v>785</v>
      </c>
      <c r="Z35" s="280" t="s">
        <v>786</v>
      </c>
      <c r="AA35" s="280" t="s">
        <v>232</v>
      </c>
      <c r="AB35" s="280" t="s">
        <v>769</v>
      </c>
      <c r="AC35" s="280" t="s">
        <v>783</v>
      </c>
      <c r="AD35" s="282">
        <v>4.4733796296296292E-2</v>
      </c>
      <c r="AE35" s="280">
        <v>13.972</v>
      </c>
      <c r="AF35" s="280">
        <v>5</v>
      </c>
    </row>
    <row r="36" spans="1:32" s="290" customFormat="1" ht="17" thickTop="1" thickBot="1">
      <c r="A36" s="300" t="s">
        <v>828</v>
      </c>
      <c r="B36" s="291" t="s">
        <v>833</v>
      </c>
      <c r="C36" s="292">
        <v>42195</v>
      </c>
      <c r="D36" s="291"/>
      <c r="E36" s="293">
        <f>VALUE(CONCATENATE(RIGHT(CONCATENATE("0",INT(C36/(1000*J36))),2),":",INT(60*(C36/(1000*J36)-INT(C36/(1000*J36)))),":","00"))</f>
        <v>0.14583333333333334</v>
      </c>
      <c r="F36" s="298">
        <f t="shared" ref="F36" si="14">HOUR(E36)</f>
        <v>3</v>
      </c>
      <c r="G36" s="298">
        <f t="shared" ref="G36" si="15">MINUTE(E36)</f>
        <v>30</v>
      </c>
      <c r="H36" s="298">
        <f t="shared" ref="H36" si="16">SECOND(E36)</f>
        <v>0</v>
      </c>
      <c r="I36" s="298">
        <f t="shared" ref="I36" si="17">F36+(G36/60)+(H36/3600)</f>
        <v>3.5</v>
      </c>
      <c r="J36" s="292">
        <v>12</v>
      </c>
      <c r="K36" s="289" t="str">
        <f t="shared" ref="K36" si="18">CONCATENATE(INT(60/J36),"'",INT(60*(60/J36-INT(60/J36))),"''")</f>
        <v>5'0''</v>
      </c>
      <c r="X36" s="280">
        <v>503</v>
      </c>
      <c r="Y36" s="280" t="s">
        <v>814</v>
      </c>
      <c r="Z36" s="280" t="s">
        <v>815</v>
      </c>
      <c r="AA36" s="280" t="s">
        <v>232</v>
      </c>
      <c r="AB36" s="280" t="s">
        <v>769</v>
      </c>
      <c r="AC36" s="280">
        <v>0</v>
      </c>
      <c r="AD36" s="282">
        <v>4.8912037037037039E-2</v>
      </c>
      <c r="AE36" s="280">
        <v>12.778</v>
      </c>
      <c r="AF36" s="280">
        <v>20</v>
      </c>
    </row>
    <row r="37" spans="1:32" ht="31" thickTop="1">
      <c r="X37" s="280">
        <v>195</v>
      </c>
      <c r="Y37" s="280" t="s">
        <v>837</v>
      </c>
      <c r="Z37" s="280" t="s">
        <v>838</v>
      </c>
      <c r="AA37" s="280" t="s">
        <v>232</v>
      </c>
      <c r="AB37" s="280" t="s">
        <v>782</v>
      </c>
      <c r="AC37" s="280" t="s">
        <v>839</v>
      </c>
      <c r="AD37" s="282">
        <v>5.0555555555555555E-2</v>
      </c>
      <c r="AE37" s="280">
        <v>12.363</v>
      </c>
      <c r="AF37" s="280">
        <v>38</v>
      </c>
    </row>
    <row r="38" spans="1:32" ht="30">
      <c r="X38" s="280">
        <v>141</v>
      </c>
      <c r="Y38" s="280" t="s">
        <v>840</v>
      </c>
      <c r="Z38" s="280" t="s">
        <v>841</v>
      </c>
      <c r="AA38" s="280" t="s">
        <v>232</v>
      </c>
      <c r="AB38" s="280" t="s">
        <v>831</v>
      </c>
      <c r="AC38" s="280" t="s">
        <v>842</v>
      </c>
      <c r="AD38" s="282">
        <v>5.0659722222222224E-2</v>
      </c>
      <c r="AE38" s="280">
        <v>12.337</v>
      </c>
      <c r="AF38" s="280">
        <v>39</v>
      </c>
    </row>
    <row r="39" spans="1:32">
      <c r="X39" s="280">
        <v>152</v>
      </c>
      <c r="Y39" s="280" t="s">
        <v>843</v>
      </c>
      <c r="Z39" s="280" t="s">
        <v>844</v>
      </c>
      <c r="AA39" s="280" t="s">
        <v>232</v>
      </c>
      <c r="AB39" s="280" t="s">
        <v>769</v>
      </c>
      <c r="AC39" s="280">
        <v>0</v>
      </c>
      <c r="AD39" s="282">
        <v>5.1030092592592592E-2</v>
      </c>
      <c r="AE39" s="280">
        <v>12.247999999999999</v>
      </c>
      <c r="AF39" s="280">
        <v>40</v>
      </c>
    </row>
    <row r="40" spans="1:32" ht="30">
      <c r="X40" s="280">
        <v>153</v>
      </c>
      <c r="Y40" s="280" t="s">
        <v>845</v>
      </c>
      <c r="Z40" s="280" t="s">
        <v>846</v>
      </c>
      <c r="AA40" s="280" t="s">
        <v>232</v>
      </c>
      <c r="AB40" s="280" t="s">
        <v>782</v>
      </c>
      <c r="AC40" s="280" t="s">
        <v>783</v>
      </c>
      <c r="AD40" s="282">
        <v>5.1111111111111107E-2</v>
      </c>
      <c r="AE40" s="280">
        <v>12.228</v>
      </c>
      <c r="AF40" s="280">
        <v>41</v>
      </c>
    </row>
    <row r="41" spans="1:32" ht="30">
      <c r="X41" s="280">
        <v>166</v>
      </c>
      <c r="Y41" s="280" t="s">
        <v>847</v>
      </c>
      <c r="Z41" s="280" t="s">
        <v>848</v>
      </c>
      <c r="AA41" s="280" t="s">
        <v>232</v>
      </c>
      <c r="AB41" s="280" t="s">
        <v>782</v>
      </c>
      <c r="AC41" s="280" t="s">
        <v>808</v>
      </c>
      <c r="AD41" s="282">
        <v>5.1284722222222225E-2</v>
      </c>
      <c r="AE41" s="280">
        <v>12.186999999999999</v>
      </c>
      <c r="AF41" s="280">
        <v>42</v>
      </c>
    </row>
    <row r="42" spans="1:32" ht="45">
      <c r="X42" s="280">
        <v>380</v>
      </c>
      <c r="Y42" s="280" t="s">
        <v>849</v>
      </c>
      <c r="Z42" s="280" t="s">
        <v>850</v>
      </c>
      <c r="AA42" s="280" t="s">
        <v>232</v>
      </c>
      <c r="AB42" s="280" t="s">
        <v>831</v>
      </c>
      <c r="AC42" s="280" t="s">
        <v>851</v>
      </c>
      <c r="AD42" s="282">
        <v>5.1493055555555556E-2</v>
      </c>
      <c r="AE42" s="280">
        <v>12.138</v>
      </c>
      <c r="AF42" s="280">
        <v>43</v>
      </c>
    </row>
    <row r="43" spans="1:32" ht="30">
      <c r="X43" s="280">
        <v>289</v>
      </c>
      <c r="Y43" s="280" t="s">
        <v>852</v>
      </c>
      <c r="Z43" s="280" t="s">
        <v>853</v>
      </c>
      <c r="AA43" s="280" t="s">
        <v>232</v>
      </c>
      <c r="AB43" s="280" t="s">
        <v>769</v>
      </c>
      <c r="AC43" s="280" t="s">
        <v>854</v>
      </c>
      <c r="AD43" s="282">
        <v>5.1585648148148144E-2</v>
      </c>
      <c r="AE43" s="280">
        <v>12.116</v>
      </c>
      <c r="AF43" s="280">
        <v>44</v>
      </c>
    </row>
    <row r="44" spans="1:32" ht="30">
      <c r="X44" s="280">
        <v>275</v>
      </c>
      <c r="Y44" s="280" t="s">
        <v>855</v>
      </c>
      <c r="Z44" s="280" t="s">
        <v>856</v>
      </c>
      <c r="AA44" s="280" t="s">
        <v>232</v>
      </c>
      <c r="AB44" s="280" t="s">
        <v>769</v>
      </c>
      <c r="AC44" s="280" t="s">
        <v>857</v>
      </c>
      <c r="AD44" s="282">
        <v>5.1608796296296298E-2</v>
      </c>
      <c r="AE44" s="280">
        <v>12.11</v>
      </c>
      <c r="AF44" s="280">
        <v>45</v>
      </c>
    </row>
    <row r="45" spans="1:32" ht="30">
      <c r="X45" s="280">
        <v>259</v>
      </c>
      <c r="Y45" s="280" t="s">
        <v>858</v>
      </c>
      <c r="Z45" s="280" t="s">
        <v>859</v>
      </c>
      <c r="AA45" s="280" t="s">
        <v>232</v>
      </c>
      <c r="AB45" s="280" t="s">
        <v>769</v>
      </c>
      <c r="AC45" s="280">
        <v>0</v>
      </c>
      <c r="AD45" s="282">
        <v>5.1643518518518526E-2</v>
      </c>
      <c r="AE45" s="280">
        <v>12.102</v>
      </c>
      <c r="AF45" s="280">
        <v>46</v>
      </c>
    </row>
    <row r="46" spans="1:32" ht="30">
      <c r="X46" s="280">
        <v>364</v>
      </c>
      <c r="Y46" s="280" t="s">
        <v>860</v>
      </c>
      <c r="Z46" s="280" t="s">
        <v>861</v>
      </c>
      <c r="AA46" s="280" t="s">
        <v>232</v>
      </c>
      <c r="AB46" s="280" t="s">
        <v>831</v>
      </c>
      <c r="AC46" s="280">
        <v>0</v>
      </c>
      <c r="AD46" s="282">
        <v>5.167824074074074E-2</v>
      </c>
      <c r="AE46" s="280">
        <v>12.093999999999999</v>
      </c>
      <c r="AF46" s="280">
        <v>47</v>
      </c>
    </row>
    <row r="47" spans="1:32">
      <c r="X47" s="280">
        <v>437</v>
      </c>
      <c r="Y47" s="280" t="s">
        <v>862</v>
      </c>
      <c r="Z47" s="280" t="s">
        <v>863</v>
      </c>
      <c r="AA47" s="280" t="s">
        <v>232</v>
      </c>
      <c r="AB47" s="280" t="s">
        <v>864</v>
      </c>
      <c r="AC47" s="280">
        <v>0</v>
      </c>
      <c r="AD47" s="282">
        <v>5.1701388888888887E-2</v>
      </c>
      <c r="AE47" s="280">
        <v>12.089</v>
      </c>
      <c r="AF47" s="280">
        <v>48</v>
      </c>
    </row>
    <row r="48" spans="1:32" ht="30">
      <c r="X48" s="280">
        <v>135</v>
      </c>
      <c r="Y48" s="280" t="s">
        <v>865</v>
      </c>
      <c r="Z48" s="280" t="s">
        <v>866</v>
      </c>
      <c r="AA48" s="280" t="s">
        <v>232</v>
      </c>
      <c r="AB48" s="280" t="s">
        <v>819</v>
      </c>
      <c r="AC48" s="280" t="s">
        <v>867</v>
      </c>
      <c r="AD48" s="282">
        <v>5.1736111111111115E-2</v>
      </c>
      <c r="AE48" s="280">
        <v>12.081</v>
      </c>
      <c r="AF48" s="280">
        <v>49</v>
      </c>
    </row>
    <row r="49" spans="24:32" ht="30">
      <c r="X49" s="280">
        <v>428</v>
      </c>
      <c r="Y49" s="280" t="s">
        <v>868</v>
      </c>
      <c r="Z49" s="280" t="s">
        <v>853</v>
      </c>
      <c r="AA49" s="280" t="s">
        <v>232</v>
      </c>
      <c r="AB49" s="280" t="s">
        <v>769</v>
      </c>
      <c r="AC49" s="280" t="s">
        <v>778</v>
      </c>
      <c r="AD49" s="282">
        <v>5.1875000000000004E-2</v>
      </c>
      <c r="AE49" s="280">
        <v>12.048</v>
      </c>
      <c r="AF49" s="280">
        <v>50</v>
      </c>
    </row>
    <row r="50" spans="24:32">
      <c r="X50" s="280">
        <v>206</v>
      </c>
      <c r="Y50" s="280" t="s">
        <v>869</v>
      </c>
      <c r="Z50" s="280" t="s">
        <v>774</v>
      </c>
      <c r="AA50" s="280" t="s">
        <v>232</v>
      </c>
      <c r="AB50" s="280" t="s">
        <v>769</v>
      </c>
      <c r="AC50" s="280" t="s">
        <v>870</v>
      </c>
      <c r="AD50" s="282">
        <v>5.1898148148148145E-2</v>
      </c>
      <c r="AE50" s="280">
        <v>12.042999999999999</v>
      </c>
      <c r="AF50" s="280">
        <v>51</v>
      </c>
    </row>
    <row r="51" spans="24:32" ht="30">
      <c r="X51" s="280">
        <v>410</v>
      </c>
      <c r="Y51" s="280" t="s">
        <v>871</v>
      </c>
      <c r="Z51" s="280" t="s">
        <v>872</v>
      </c>
      <c r="AA51" s="280" t="s">
        <v>232</v>
      </c>
      <c r="AB51" s="280" t="s">
        <v>873</v>
      </c>
      <c r="AC51" s="280" t="s">
        <v>778</v>
      </c>
      <c r="AD51" s="282">
        <v>5.1944444444444439E-2</v>
      </c>
      <c r="AE51" s="280">
        <v>12.032</v>
      </c>
      <c r="AF51" s="280">
        <v>52</v>
      </c>
    </row>
    <row r="52" spans="24:32">
      <c r="X52" s="280">
        <v>53</v>
      </c>
      <c r="Y52" s="280" t="s">
        <v>874</v>
      </c>
      <c r="Z52" s="280" t="s">
        <v>875</v>
      </c>
      <c r="AA52" s="280" t="s">
        <v>232</v>
      </c>
      <c r="AB52" s="280" t="s">
        <v>782</v>
      </c>
      <c r="AC52" s="280">
        <v>0</v>
      </c>
      <c r="AD52" s="282">
        <v>5.1990740740740747E-2</v>
      </c>
      <c r="AE52" s="280">
        <v>12.021000000000001</v>
      </c>
      <c r="AF52" s="280">
        <v>53</v>
      </c>
    </row>
    <row r="53" spans="24:32">
      <c r="X53" s="280">
        <v>468</v>
      </c>
      <c r="Y53" s="280" t="s">
        <v>876</v>
      </c>
      <c r="Z53" s="280" t="s">
        <v>877</v>
      </c>
      <c r="AA53" s="280" t="s">
        <v>232</v>
      </c>
      <c r="AB53" s="280" t="s">
        <v>782</v>
      </c>
      <c r="AC53" s="280" t="s">
        <v>878</v>
      </c>
      <c r="AD53" s="282">
        <v>5.2002314814814814E-2</v>
      </c>
      <c r="AE53" s="280">
        <v>12.019</v>
      </c>
      <c r="AF53" s="280">
        <v>54</v>
      </c>
    </row>
    <row r="54" spans="24:32" ht="60">
      <c r="X54" s="280">
        <v>176</v>
      </c>
      <c r="Y54" s="280" t="s">
        <v>879</v>
      </c>
      <c r="Z54" s="280" t="s">
        <v>844</v>
      </c>
      <c r="AA54" s="280" t="s">
        <v>232</v>
      </c>
      <c r="AB54" s="280" t="s">
        <v>769</v>
      </c>
      <c r="AC54" s="280" t="s">
        <v>880</v>
      </c>
      <c r="AD54" s="282">
        <v>5.2025462962962961E-2</v>
      </c>
      <c r="AE54" s="280">
        <v>12.013</v>
      </c>
      <c r="AF54" s="280">
        <v>55</v>
      </c>
    </row>
    <row r="55" spans="24:32">
      <c r="X55" s="280">
        <v>488</v>
      </c>
      <c r="Y55" s="280" t="s">
        <v>881</v>
      </c>
      <c r="Z55" s="280" t="s">
        <v>882</v>
      </c>
      <c r="AA55" s="280" t="s">
        <v>232</v>
      </c>
      <c r="AB55" s="280" t="s">
        <v>769</v>
      </c>
      <c r="AC55" s="280">
        <v>0</v>
      </c>
      <c r="AD55" s="282">
        <v>5.2071759259259255E-2</v>
      </c>
      <c r="AE55" s="280">
        <v>12.003</v>
      </c>
      <c r="AF55" s="280">
        <v>56</v>
      </c>
    </row>
    <row r="56" spans="24:32">
      <c r="X56" s="280">
        <v>419</v>
      </c>
      <c r="Y56" s="280" t="s">
        <v>883</v>
      </c>
      <c r="Z56" s="280" t="s">
        <v>884</v>
      </c>
      <c r="AA56" s="280" t="s">
        <v>232</v>
      </c>
      <c r="AB56" s="280" t="s">
        <v>864</v>
      </c>
      <c r="AC56" s="280">
        <v>0</v>
      </c>
      <c r="AD56" s="282">
        <v>5.2094907407407409E-2</v>
      </c>
      <c r="AE56" s="280">
        <v>11.997</v>
      </c>
      <c r="AF56" s="280">
        <v>57</v>
      </c>
    </row>
    <row r="57" spans="24:32">
      <c r="X57" s="280">
        <v>296</v>
      </c>
      <c r="Y57" s="280" t="s">
        <v>885</v>
      </c>
      <c r="Z57" s="280" t="s">
        <v>886</v>
      </c>
      <c r="AA57" s="280" t="s">
        <v>232</v>
      </c>
      <c r="AB57" s="280" t="s">
        <v>782</v>
      </c>
      <c r="AC57" s="280" t="s">
        <v>870</v>
      </c>
      <c r="AD57" s="282">
        <v>5.2152777777777777E-2</v>
      </c>
      <c r="AE57" s="280">
        <v>11.984</v>
      </c>
      <c r="AF57" s="280">
        <v>58</v>
      </c>
    </row>
    <row r="58" spans="24:32">
      <c r="X58" s="280">
        <v>367</v>
      </c>
      <c r="Y58" s="280" t="s">
        <v>887</v>
      </c>
      <c r="Z58" s="280" t="s">
        <v>888</v>
      </c>
      <c r="AA58" s="280" t="s">
        <v>889</v>
      </c>
      <c r="AB58" s="280" t="s">
        <v>769</v>
      </c>
      <c r="AC58" s="280" t="s">
        <v>890</v>
      </c>
      <c r="AD58" s="282">
        <v>5.2175925925925924E-2</v>
      </c>
      <c r="AE58" s="280">
        <v>11.978999999999999</v>
      </c>
      <c r="AF58" s="280">
        <v>59</v>
      </c>
    </row>
    <row r="59" spans="24:32">
      <c r="X59" s="280">
        <v>321</v>
      </c>
      <c r="Y59" s="280" t="s">
        <v>891</v>
      </c>
      <c r="Z59" s="280" t="s">
        <v>892</v>
      </c>
      <c r="AA59" s="280" t="s">
        <v>232</v>
      </c>
      <c r="AB59" s="280" t="s">
        <v>769</v>
      </c>
      <c r="AC59" s="280">
        <v>0</v>
      </c>
      <c r="AD59" s="282">
        <v>5.2187499999999998E-2</v>
      </c>
      <c r="AE59" s="280">
        <v>11.976000000000001</v>
      </c>
      <c r="AF59" s="280">
        <v>60</v>
      </c>
    </row>
    <row r="60" spans="24:32" ht="30">
      <c r="X60" s="280">
        <v>336</v>
      </c>
      <c r="Y60" s="280" t="s">
        <v>893</v>
      </c>
      <c r="Z60" s="280" t="s">
        <v>894</v>
      </c>
      <c r="AA60" s="280" t="s">
        <v>232</v>
      </c>
      <c r="AB60" s="280" t="s">
        <v>864</v>
      </c>
      <c r="AC60" s="280" t="s">
        <v>895</v>
      </c>
      <c r="AD60" s="282">
        <v>5.2210648148148152E-2</v>
      </c>
      <c r="AE60" s="280">
        <v>11.971</v>
      </c>
      <c r="AF60" s="280">
        <v>61</v>
      </c>
    </row>
    <row r="61" spans="24:32">
      <c r="X61" s="280">
        <v>22</v>
      </c>
      <c r="Y61" s="280" t="s">
        <v>896</v>
      </c>
      <c r="Z61" s="280" t="s">
        <v>897</v>
      </c>
      <c r="AA61" s="280" t="s">
        <v>232</v>
      </c>
      <c r="AB61" s="280" t="s">
        <v>819</v>
      </c>
      <c r="AC61" s="280">
        <v>0</v>
      </c>
      <c r="AD61" s="282">
        <v>5.2222222222222225E-2</v>
      </c>
      <c r="AE61" s="280">
        <v>11.968</v>
      </c>
      <c r="AF61" s="280">
        <v>62</v>
      </c>
    </row>
    <row r="62" spans="24:32">
      <c r="X62" s="280">
        <v>221</v>
      </c>
      <c r="Y62" s="280" t="s">
        <v>898</v>
      </c>
      <c r="Z62" s="280" t="s">
        <v>892</v>
      </c>
      <c r="AA62" s="280" t="s">
        <v>232</v>
      </c>
      <c r="AB62" s="280" t="s">
        <v>769</v>
      </c>
      <c r="AC62" s="280" t="s">
        <v>870</v>
      </c>
      <c r="AD62" s="282">
        <v>5.2256944444444446E-2</v>
      </c>
      <c r="AE62" s="280">
        <v>11.96</v>
      </c>
      <c r="AF62" s="280">
        <v>63</v>
      </c>
    </row>
    <row r="63" spans="24:32">
      <c r="X63" s="280">
        <v>318</v>
      </c>
      <c r="Y63" s="280" t="s">
        <v>899</v>
      </c>
      <c r="Z63" s="280" t="s">
        <v>900</v>
      </c>
      <c r="AA63" s="280" t="s">
        <v>232</v>
      </c>
      <c r="AB63" s="280" t="s">
        <v>769</v>
      </c>
      <c r="AC63" s="280">
        <v>0</v>
      </c>
      <c r="AD63" s="282">
        <v>5.229166666666666E-2</v>
      </c>
      <c r="AE63" s="280">
        <v>11.952</v>
      </c>
      <c r="AF63" s="280">
        <v>64</v>
      </c>
    </row>
    <row r="64" spans="24:32" ht="45">
      <c r="X64" s="280">
        <v>194</v>
      </c>
      <c r="Y64" s="280" t="s">
        <v>856</v>
      </c>
      <c r="Z64" s="280" t="s">
        <v>901</v>
      </c>
      <c r="AA64" s="280" t="s">
        <v>232</v>
      </c>
      <c r="AB64" s="280" t="s">
        <v>831</v>
      </c>
      <c r="AC64" s="280" t="s">
        <v>902</v>
      </c>
      <c r="AD64" s="282">
        <v>5.2314814814814814E-2</v>
      </c>
      <c r="AE64" s="280">
        <v>11.946999999999999</v>
      </c>
      <c r="AF64" s="280">
        <v>65</v>
      </c>
    </row>
    <row r="65" spans="24:32">
      <c r="X65" s="280">
        <v>350</v>
      </c>
      <c r="Y65" s="280" t="s">
        <v>903</v>
      </c>
      <c r="Z65" s="280" t="s">
        <v>904</v>
      </c>
      <c r="AA65" s="280" t="s">
        <v>232</v>
      </c>
      <c r="AB65" s="280" t="s">
        <v>831</v>
      </c>
      <c r="AC65" s="280" t="s">
        <v>905</v>
      </c>
      <c r="AD65" s="282">
        <v>5.2349537037037042E-2</v>
      </c>
      <c r="AE65" s="280">
        <v>11.939</v>
      </c>
      <c r="AF65" s="280">
        <v>66</v>
      </c>
    </row>
    <row r="66" spans="24:32">
      <c r="X66" s="280">
        <v>220</v>
      </c>
      <c r="Y66" s="280" t="s">
        <v>906</v>
      </c>
      <c r="Z66" s="280" t="s">
        <v>907</v>
      </c>
      <c r="AA66" s="280" t="s">
        <v>232</v>
      </c>
      <c r="AB66" s="280" t="s">
        <v>769</v>
      </c>
      <c r="AC66" s="280" t="s">
        <v>870</v>
      </c>
      <c r="AD66" s="282">
        <v>5.2395833333333336E-2</v>
      </c>
      <c r="AE66" s="280">
        <v>11.928000000000001</v>
      </c>
      <c r="AF66" s="280">
        <v>67</v>
      </c>
    </row>
    <row r="67" spans="24:32" ht="45">
      <c r="X67" s="280">
        <v>431</v>
      </c>
      <c r="Y67" s="280" t="s">
        <v>908</v>
      </c>
      <c r="Z67" s="280" t="s">
        <v>909</v>
      </c>
      <c r="AA67" s="280" t="s">
        <v>232</v>
      </c>
      <c r="AB67" s="280" t="s">
        <v>864</v>
      </c>
      <c r="AC67" s="280" t="s">
        <v>910</v>
      </c>
      <c r="AD67" s="282">
        <v>5.2453703703703704E-2</v>
      </c>
      <c r="AE67" s="280">
        <v>11.914999999999999</v>
      </c>
      <c r="AF67" s="280">
        <v>68</v>
      </c>
    </row>
    <row r="68" spans="24:32">
      <c r="X68" s="280">
        <v>151</v>
      </c>
      <c r="Y68" s="280" t="s">
        <v>911</v>
      </c>
      <c r="Z68" s="280" t="s">
        <v>912</v>
      </c>
      <c r="AA68" s="280" t="s">
        <v>232</v>
      </c>
      <c r="AB68" s="280" t="s">
        <v>769</v>
      </c>
      <c r="AC68" s="280">
        <v>0</v>
      </c>
      <c r="AD68" s="282">
        <v>5.2465277777777784E-2</v>
      </c>
      <c r="AE68" s="280">
        <v>11.913</v>
      </c>
      <c r="AF68" s="280">
        <v>69</v>
      </c>
    </row>
    <row r="69" spans="24:32">
      <c r="X69" s="280">
        <v>17</v>
      </c>
      <c r="Y69" s="280" t="s">
        <v>913</v>
      </c>
      <c r="Z69" s="280" t="s">
        <v>774</v>
      </c>
      <c r="AA69" s="280" t="s">
        <v>232</v>
      </c>
      <c r="AB69" s="280" t="s">
        <v>769</v>
      </c>
      <c r="AC69" s="280" t="s">
        <v>870</v>
      </c>
      <c r="AD69" s="282">
        <v>5.2476851851851851E-2</v>
      </c>
      <c r="AE69" s="280">
        <v>11.91</v>
      </c>
      <c r="AF69" s="280">
        <v>70</v>
      </c>
    </row>
    <row r="70" spans="24:32" ht="30">
      <c r="X70" s="280">
        <v>173</v>
      </c>
      <c r="Y70" s="280" t="s">
        <v>914</v>
      </c>
      <c r="Z70" s="280" t="s">
        <v>826</v>
      </c>
      <c r="AA70" s="280" t="s">
        <v>232</v>
      </c>
      <c r="AB70" s="280" t="s">
        <v>769</v>
      </c>
      <c r="AC70" s="280" t="s">
        <v>915</v>
      </c>
      <c r="AD70" s="282">
        <v>5.2499999999999998E-2</v>
      </c>
      <c r="AE70" s="280">
        <v>11.904999999999999</v>
      </c>
      <c r="AF70" s="280">
        <v>71</v>
      </c>
    </row>
    <row r="71" spans="24:32" ht="30">
      <c r="X71" s="280">
        <v>491</v>
      </c>
      <c r="Y71" s="280" t="s">
        <v>916</v>
      </c>
      <c r="Z71" s="280" t="s">
        <v>807</v>
      </c>
      <c r="AA71" s="280" t="s">
        <v>232</v>
      </c>
      <c r="AB71" s="280" t="s">
        <v>782</v>
      </c>
      <c r="AC71" s="280" t="s">
        <v>917</v>
      </c>
      <c r="AD71" s="282">
        <v>5.2534722222222219E-2</v>
      </c>
      <c r="AE71" s="280">
        <v>11.897</v>
      </c>
      <c r="AF71" s="280">
        <v>72</v>
      </c>
    </row>
    <row r="72" spans="24:32">
      <c r="X72" s="280">
        <v>227</v>
      </c>
      <c r="Y72" s="280" t="s">
        <v>918</v>
      </c>
      <c r="Z72" s="280" t="s">
        <v>912</v>
      </c>
      <c r="AA72" s="280" t="s">
        <v>232</v>
      </c>
      <c r="AB72" s="280" t="s">
        <v>769</v>
      </c>
      <c r="AC72" s="280" t="s">
        <v>870</v>
      </c>
      <c r="AD72" s="282">
        <v>5.2546296296296292E-2</v>
      </c>
      <c r="AE72" s="280">
        <v>11.894</v>
      </c>
      <c r="AF72" s="280">
        <v>73</v>
      </c>
    </row>
    <row r="73" spans="24:32" ht="30">
      <c r="X73" s="280">
        <v>440</v>
      </c>
      <c r="Y73" s="280" t="s">
        <v>919</v>
      </c>
      <c r="Z73" s="280" t="s">
        <v>866</v>
      </c>
      <c r="AA73" s="280" t="s">
        <v>232</v>
      </c>
      <c r="AB73" s="280" t="s">
        <v>769</v>
      </c>
      <c r="AC73" s="280" t="s">
        <v>920</v>
      </c>
      <c r="AD73" s="282">
        <v>5.2569444444444446E-2</v>
      </c>
      <c r="AE73" s="280">
        <v>11.888999999999999</v>
      </c>
      <c r="AF73" s="280">
        <v>74</v>
      </c>
    </row>
    <row r="74" spans="24:32">
      <c r="X74" s="280">
        <v>435</v>
      </c>
      <c r="Y74" s="280" t="s">
        <v>921</v>
      </c>
      <c r="Z74" s="280" t="s">
        <v>877</v>
      </c>
      <c r="AA74" s="280" t="s">
        <v>232</v>
      </c>
      <c r="AB74" s="280" t="s">
        <v>782</v>
      </c>
      <c r="AC74" s="280">
        <v>0</v>
      </c>
      <c r="AD74" s="282">
        <v>5.2662037037037035E-2</v>
      </c>
      <c r="AE74" s="280">
        <v>11.868</v>
      </c>
      <c r="AF74" s="280">
        <v>75</v>
      </c>
    </row>
    <row r="75" spans="24:32">
      <c r="X75" s="280">
        <v>95</v>
      </c>
      <c r="Y75" s="280" t="s">
        <v>922</v>
      </c>
      <c r="Z75" s="280" t="s">
        <v>230</v>
      </c>
      <c r="AA75" s="280" t="s">
        <v>232</v>
      </c>
      <c r="AB75" s="280" t="s">
        <v>782</v>
      </c>
      <c r="AC75" s="280">
        <v>0</v>
      </c>
      <c r="AD75" s="282">
        <v>5.275462962962963E-2</v>
      </c>
      <c r="AE75" s="280">
        <v>11.847</v>
      </c>
      <c r="AF75" s="280">
        <v>76</v>
      </c>
    </row>
    <row r="76" spans="24:32">
      <c r="X76" s="280">
        <v>224</v>
      </c>
      <c r="Y76" s="280" t="s">
        <v>923</v>
      </c>
      <c r="Z76" s="280" t="s">
        <v>786</v>
      </c>
      <c r="AA76" s="280" t="s">
        <v>232</v>
      </c>
      <c r="AB76" s="280" t="s">
        <v>782</v>
      </c>
      <c r="AC76" s="280">
        <v>0</v>
      </c>
      <c r="AD76" s="282">
        <v>5.2835648148148145E-2</v>
      </c>
      <c r="AE76" s="280">
        <v>11.829000000000001</v>
      </c>
      <c r="AF76" s="280">
        <v>77</v>
      </c>
    </row>
    <row r="77" spans="24:32">
      <c r="X77" s="280">
        <v>217</v>
      </c>
      <c r="Y77" s="280" t="s">
        <v>924</v>
      </c>
      <c r="Z77" s="280" t="s">
        <v>925</v>
      </c>
      <c r="AA77" s="280" t="s">
        <v>232</v>
      </c>
      <c r="AB77" s="280" t="s">
        <v>782</v>
      </c>
      <c r="AC77" s="280" t="s">
        <v>870</v>
      </c>
      <c r="AD77" s="282">
        <v>5.2870370370370373E-2</v>
      </c>
      <c r="AE77" s="280">
        <v>11.821</v>
      </c>
      <c r="AF77" s="280">
        <v>78</v>
      </c>
    </row>
    <row r="78" spans="24:32">
      <c r="X78" s="280">
        <v>382</v>
      </c>
      <c r="Y78" s="280" t="s">
        <v>926</v>
      </c>
      <c r="Z78" s="280" t="s">
        <v>927</v>
      </c>
      <c r="AA78" s="280" t="s">
        <v>232</v>
      </c>
      <c r="AB78" s="280" t="s">
        <v>782</v>
      </c>
      <c r="AC78" s="280" t="s">
        <v>870</v>
      </c>
      <c r="AD78" s="282">
        <v>5.2951388888888888E-2</v>
      </c>
      <c r="AE78" s="280">
        <v>11.803000000000001</v>
      </c>
      <c r="AF78" s="280">
        <v>79</v>
      </c>
    </row>
    <row r="79" spans="24:32" ht="30">
      <c r="X79" s="280">
        <v>157</v>
      </c>
      <c r="Y79" s="280" t="s">
        <v>928</v>
      </c>
      <c r="Z79" s="280" t="s">
        <v>929</v>
      </c>
      <c r="AA79" s="280" t="s">
        <v>232</v>
      </c>
      <c r="AB79" s="280" t="s">
        <v>782</v>
      </c>
      <c r="AC79" s="280" t="s">
        <v>930</v>
      </c>
      <c r="AD79" s="282">
        <v>5.3055555555555557E-2</v>
      </c>
      <c r="AE79" s="280">
        <v>11.78</v>
      </c>
      <c r="AF79" s="280">
        <v>80</v>
      </c>
    </row>
    <row r="80" spans="24:32">
      <c r="X80" s="280">
        <v>444</v>
      </c>
      <c r="Y80" s="280" t="s">
        <v>931</v>
      </c>
      <c r="Z80" s="280" t="s">
        <v>932</v>
      </c>
      <c r="AA80" s="280" t="s">
        <v>232</v>
      </c>
      <c r="AB80" s="280" t="s">
        <v>819</v>
      </c>
      <c r="AC80" s="280">
        <v>0</v>
      </c>
      <c r="AD80" s="282">
        <v>5.3101851851851851E-2</v>
      </c>
      <c r="AE80" s="280">
        <v>11.77</v>
      </c>
      <c r="AF80" s="280">
        <v>81</v>
      </c>
    </row>
    <row r="81" spans="24:32">
      <c r="X81" s="280">
        <v>120</v>
      </c>
      <c r="Y81" s="280" t="s">
        <v>933</v>
      </c>
      <c r="Z81" s="280" t="s">
        <v>230</v>
      </c>
      <c r="AA81" s="280" t="s">
        <v>232</v>
      </c>
      <c r="AB81" s="280" t="s">
        <v>769</v>
      </c>
      <c r="AC81" s="280">
        <v>0</v>
      </c>
      <c r="AD81" s="282">
        <v>5.3159722222222226E-2</v>
      </c>
      <c r="AE81" s="280">
        <v>11.757</v>
      </c>
      <c r="AF81" s="280">
        <v>82</v>
      </c>
    </row>
    <row r="82" spans="24:32">
      <c r="X82" s="280">
        <v>72</v>
      </c>
      <c r="Y82" s="280" t="s">
        <v>934</v>
      </c>
      <c r="Z82" s="280" t="s">
        <v>935</v>
      </c>
      <c r="AA82" s="280" t="s">
        <v>232</v>
      </c>
      <c r="AB82" s="280" t="s">
        <v>782</v>
      </c>
      <c r="AC82" s="280" t="s">
        <v>936</v>
      </c>
      <c r="AD82" s="282">
        <v>5.3206018518518521E-2</v>
      </c>
      <c r="AE82" s="280">
        <v>11.747</v>
      </c>
      <c r="AF82" s="280">
        <v>83</v>
      </c>
    </row>
    <row r="83" spans="24:32" ht="30">
      <c r="X83" s="280">
        <v>94</v>
      </c>
      <c r="Y83" s="280" t="s">
        <v>937</v>
      </c>
      <c r="Z83" s="280" t="s">
        <v>938</v>
      </c>
      <c r="AA83" s="280" t="s">
        <v>232</v>
      </c>
      <c r="AB83" s="280" t="s">
        <v>782</v>
      </c>
      <c r="AC83" s="280" t="s">
        <v>939</v>
      </c>
      <c r="AD83" s="282">
        <v>5.3229166666666661E-2</v>
      </c>
      <c r="AE83" s="280">
        <v>11.742000000000001</v>
      </c>
      <c r="AF83" s="280">
        <v>84</v>
      </c>
    </row>
    <row r="84" spans="24:32">
      <c r="X84" s="280">
        <v>307</v>
      </c>
      <c r="Y84" s="280" t="s">
        <v>940</v>
      </c>
      <c r="Z84" s="280" t="s">
        <v>912</v>
      </c>
      <c r="AA84" s="280" t="s">
        <v>232</v>
      </c>
      <c r="AB84" s="280" t="s">
        <v>769</v>
      </c>
      <c r="AC84" s="280">
        <v>0</v>
      </c>
      <c r="AD84" s="282">
        <v>5.3263888888888888E-2</v>
      </c>
      <c r="AE84" s="280">
        <v>11.734</v>
      </c>
      <c r="AF84" s="280">
        <v>85</v>
      </c>
    </row>
    <row r="85" spans="24:32">
      <c r="X85" s="280">
        <v>41</v>
      </c>
      <c r="Y85" s="280" t="s">
        <v>941</v>
      </c>
      <c r="Z85" s="280" t="s">
        <v>942</v>
      </c>
      <c r="AA85" s="280" t="s">
        <v>232</v>
      </c>
      <c r="AB85" s="280" t="s">
        <v>831</v>
      </c>
      <c r="AC85" s="280" t="s">
        <v>943</v>
      </c>
      <c r="AD85" s="282">
        <v>5.3298611111111116E-2</v>
      </c>
      <c r="AE85" s="280">
        <v>11.726000000000001</v>
      </c>
      <c r="AF85" s="280">
        <v>86</v>
      </c>
    </row>
    <row r="86" spans="24:32" ht="45">
      <c r="X86" s="280">
        <v>154</v>
      </c>
      <c r="Y86" s="280" t="s">
        <v>944</v>
      </c>
      <c r="Z86" s="280" t="s">
        <v>826</v>
      </c>
      <c r="AA86" s="280" t="s">
        <v>232</v>
      </c>
      <c r="AB86" s="280" t="s">
        <v>769</v>
      </c>
      <c r="AC86" s="280" t="s">
        <v>851</v>
      </c>
      <c r="AD86" s="282">
        <v>5.3321759259259256E-2</v>
      </c>
      <c r="AE86" s="280">
        <v>11.721</v>
      </c>
      <c r="AF86" s="280">
        <v>87</v>
      </c>
    </row>
    <row r="87" spans="24:32">
      <c r="X87" s="280">
        <v>434</v>
      </c>
      <c r="Y87" s="280" t="s">
        <v>945</v>
      </c>
      <c r="Z87" s="280" t="s">
        <v>793</v>
      </c>
      <c r="AA87" s="280" t="s">
        <v>232</v>
      </c>
      <c r="AB87" s="280" t="s">
        <v>864</v>
      </c>
      <c r="AC87" s="280">
        <v>0</v>
      </c>
      <c r="AD87" s="282">
        <v>5.3402777777777778E-2</v>
      </c>
      <c r="AE87" s="280">
        <v>11.704000000000001</v>
      </c>
      <c r="AF87" s="280">
        <v>88</v>
      </c>
    </row>
    <row r="88" spans="24:32" ht="30">
      <c r="X88" s="280">
        <v>244</v>
      </c>
      <c r="Y88" s="280" t="s">
        <v>946</v>
      </c>
      <c r="Z88" s="280" t="s">
        <v>947</v>
      </c>
      <c r="AA88" s="280" t="s">
        <v>232</v>
      </c>
      <c r="AB88" s="280" t="s">
        <v>831</v>
      </c>
      <c r="AC88" s="280" t="s">
        <v>948</v>
      </c>
      <c r="AD88" s="282">
        <v>5.3449074074074072E-2</v>
      </c>
      <c r="AE88" s="280">
        <v>11.693</v>
      </c>
      <c r="AF88" s="280">
        <v>89</v>
      </c>
    </row>
    <row r="89" spans="24:32" ht="30">
      <c r="X89" s="280">
        <v>302</v>
      </c>
      <c r="Y89" s="280" t="s">
        <v>949</v>
      </c>
      <c r="Z89" s="280" t="s">
        <v>950</v>
      </c>
      <c r="AA89" s="280" t="s">
        <v>889</v>
      </c>
      <c r="AB89" s="280" t="s">
        <v>769</v>
      </c>
      <c r="AC89" s="280" t="s">
        <v>790</v>
      </c>
      <c r="AD89" s="282">
        <v>5.3483796296296293E-2</v>
      </c>
      <c r="AE89" s="280">
        <v>11.686</v>
      </c>
      <c r="AF89" s="280">
        <v>90</v>
      </c>
    </row>
    <row r="90" spans="24:32">
      <c r="X90" s="280">
        <v>412</v>
      </c>
      <c r="Y90" s="280" t="s">
        <v>951</v>
      </c>
      <c r="Z90" s="280" t="s">
        <v>844</v>
      </c>
      <c r="AA90" s="280" t="s">
        <v>232</v>
      </c>
      <c r="AB90" s="280" t="s">
        <v>769</v>
      </c>
      <c r="AC90" s="280">
        <v>0</v>
      </c>
      <c r="AD90" s="282">
        <v>5.3518518518518521E-2</v>
      </c>
      <c r="AE90" s="280">
        <v>11.678000000000001</v>
      </c>
      <c r="AF90" s="280">
        <v>91</v>
      </c>
    </row>
    <row r="91" spans="24:32" ht="30">
      <c r="X91" s="280">
        <v>366</v>
      </c>
      <c r="Y91" s="280" t="s">
        <v>952</v>
      </c>
      <c r="Z91" s="280" t="s">
        <v>953</v>
      </c>
      <c r="AA91" s="280" t="s">
        <v>232</v>
      </c>
      <c r="AB91" s="280" t="s">
        <v>831</v>
      </c>
      <c r="AC91" s="280" t="s">
        <v>783</v>
      </c>
      <c r="AD91" s="282">
        <v>5.376157407407408E-2</v>
      </c>
      <c r="AE91" s="280">
        <v>11.625</v>
      </c>
      <c r="AF91" s="280">
        <v>92</v>
      </c>
    </row>
    <row r="92" spans="24:32" ht="30">
      <c r="X92" s="280">
        <v>372</v>
      </c>
      <c r="Y92" s="280" t="s">
        <v>954</v>
      </c>
      <c r="Z92" s="280" t="s">
        <v>955</v>
      </c>
      <c r="AA92" s="280" t="s">
        <v>232</v>
      </c>
      <c r="AB92" s="280" t="s">
        <v>782</v>
      </c>
      <c r="AC92" s="280">
        <v>0</v>
      </c>
      <c r="AD92" s="282">
        <v>5.3796296296296293E-2</v>
      </c>
      <c r="AE92" s="280">
        <v>11.618</v>
      </c>
      <c r="AF92" s="280">
        <v>93</v>
      </c>
    </row>
    <row r="93" spans="24:32">
      <c r="X93" s="280">
        <v>124</v>
      </c>
      <c r="Y93" s="280" t="s">
        <v>956</v>
      </c>
      <c r="Z93" s="280" t="s">
        <v>957</v>
      </c>
      <c r="AA93" s="280" t="s">
        <v>232</v>
      </c>
      <c r="AB93" s="280" t="s">
        <v>782</v>
      </c>
      <c r="AC93" s="280" t="s">
        <v>870</v>
      </c>
      <c r="AD93" s="282">
        <v>5.3865740740740742E-2</v>
      </c>
      <c r="AE93" s="280">
        <v>11.603</v>
      </c>
      <c r="AF93" s="280">
        <v>94</v>
      </c>
    </row>
    <row r="94" spans="24:32">
      <c r="X94" s="280">
        <v>254</v>
      </c>
      <c r="Y94" s="280" t="s">
        <v>958</v>
      </c>
      <c r="Z94" s="280" t="s">
        <v>793</v>
      </c>
      <c r="AA94" s="280" t="s">
        <v>232</v>
      </c>
      <c r="AB94" s="280" t="s">
        <v>769</v>
      </c>
      <c r="AC94" s="280">
        <v>0</v>
      </c>
      <c r="AD94" s="282">
        <v>5.3946759259259257E-2</v>
      </c>
      <c r="AE94" s="280">
        <v>11.585000000000001</v>
      </c>
      <c r="AF94" s="280">
        <v>95</v>
      </c>
    </row>
    <row r="95" spans="24:32" ht="30">
      <c r="X95" s="280">
        <v>40</v>
      </c>
      <c r="Y95" s="280" t="s">
        <v>840</v>
      </c>
      <c r="Z95" s="280" t="s">
        <v>959</v>
      </c>
      <c r="AA95" s="280" t="s">
        <v>889</v>
      </c>
      <c r="AB95" s="280" t="s">
        <v>782</v>
      </c>
      <c r="AC95" s="280" t="s">
        <v>943</v>
      </c>
      <c r="AD95" s="282">
        <v>5.3969907407407404E-2</v>
      </c>
      <c r="AE95" s="280">
        <v>11.581</v>
      </c>
      <c r="AF95" s="280">
        <v>96</v>
      </c>
    </row>
    <row r="96" spans="24:32" ht="30">
      <c r="X96" s="280">
        <v>492</v>
      </c>
      <c r="Y96" s="280" t="s">
        <v>960</v>
      </c>
      <c r="Z96" s="280" t="s">
        <v>802</v>
      </c>
      <c r="AA96" s="280" t="s">
        <v>232</v>
      </c>
      <c r="AB96" s="280" t="s">
        <v>782</v>
      </c>
      <c r="AC96" s="280" t="s">
        <v>917</v>
      </c>
      <c r="AD96" s="282">
        <v>5.4004629629629632E-2</v>
      </c>
      <c r="AE96" s="280">
        <v>11.573</v>
      </c>
      <c r="AF96" s="280">
        <v>97</v>
      </c>
    </row>
    <row r="97" spans="24:32" ht="45">
      <c r="X97" s="280">
        <v>341</v>
      </c>
      <c r="Y97" s="280" t="s">
        <v>961</v>
      </c>
      <c r="Z97" s="280" t="s">
        <v>909</v>
      </c>
      <c r="AA97" s="280" t="s">
        <v>232</v>
      </c>
      <c r="AB97" s="280" t="s">
        <v>819</v>
      </c>
      <c r="AC97" s="280" t="s">
        <v>962</v>
      </c>
      <c r="AD97" s="282">
        <v>5.4039351851851852E-2</v>
      </c>
      <c r="AE97" s="280">
        <v>11.566000000000001</v>
      </c>
      <c r="AF97" s="280">
        <v>98</v>
      </c>
    </row>
    <row r="98" spans="24:32" ht="45">
      <c r="X98" s="280">
        <v>499</v>
      </c>
      <c r="Y98" s="280" t="s">
        <v>963</v>
      </c>
      <c r="Z98" s="280" t="s">
        <v>912</v>
      </c>
      <c r="AA98" s="280" t="s">
        <v>232</v>
      </c>
      <c r="AB98" s="280" t="s">
        <v>864</v>
      </c>
      <c r="AC98" s="280" t="s">
        <v>910</v>
      </c>
      <c r="AD98" s="282">
        <v>5.4189814814814809E-2</v>
      </c>
      <c r="AE98" s="280">
        <v>11.534000000000001</v>
      </c>
      <c r="AF98" s="280">
        <v>99</v>
      </c>
    </row>
    <row r="99" spans="24:32">
      <c r="X99" s="280">
        <v>205</v>
      </c>
      <c r="Y99" s="280" t="s">
        <v>964</v>
      </c>
      <c r="Z99" s="280" t="s">
        <v>965</v>
      </c>
      <c r="AA99" s="280" t="s">
        <v>232</v>
      </c>
      <c r="AB99" s="280" t="s">
        <v>782</v>
      </c>
      <c r="AC99" s="280" t="s">
        <v>870</v>
      </c>
      <c r="AD99" s="282">
        <v>5.4212962962962963E-2</v>
      </c>
      <c r="AE99" s="280">
        <v>11.529</v>
      </c>
      <c r="AF99" s="280">
        <v>100</v>
      </c>
    </row>
    <row r="100" spans="24:32" ht="30">
      <c r="X100" s="280">
        <v>34</v>
      </c>
      <c r="Y100" s="280" t="s">
        <v>966</v>
      </c>
      <c r="Z100" s="280" t="s">
        <v>856</v>
      </c>
      <c r="AA100" s="280" t="s">
        <v>232</v>
      </c>
      <c r="AB100" s="280" t="s">
        <v>831</v>
      </c>
      <c r="AC100" s="280" t="s">
        <v>967</v>
      </c>
      <c r="AD100" s="282">
        <v>5.4224537037037036E-2</v>
      </c>
      <c r="AE100" s="280">
        <v>11.526</v>
      </c>
      <c r="AF100" s="280">
        <v>101</v>
      </c>
    </row>
    <row r="101" spans="24:32" ht="30">
      <c r="X101" s="280">
        <v>57</v>
      </c>
      <c r="Y101" s="280" t="s">
        <v>968</v>
      </c>
      <c r="Z101" s="280" t="s">
        <v>969</v>
      </c>
      <c r="AA101" s="280" t="s">
        <v>232</v>
      </c>
      <c r="AB101" s="280" t="s">
        <v>782</v>
      </c>
      <c r="AC101" s="280">
        <v>0</v>
      </c>
      <c r="AD101" s="282">
        <v>5.4305555555555551E-2</v>
      </c>
      <c r="AE101" s="280">
        <v>11.509</v>
      </c>
      <c r="AF101" s="280">
        <v>102</v>
      </c>
    </row>
    <row r="102" spans="24:32">
      <c r="X102" s="280">
        <v>456</v>
      </c>
      <c r="Y102" s="280" t="s">
        <v>970</v>
      </c>
      <c r="Z102" s="280" t="s">
        <v>774</v>
      </c>
      <c r="AA102" s="280" t="s">
        <v>232</v>
      </c>
      <c r="AB102" s="280" t="s">
        <v>769</v>
      </c>
      <c r="AC102" s="280">
        <v>0</v>
      </c>
      <c r="AD102" s="282">
        <v>5.4351851851851853E-2</v>
      </c>
      <c r="AE102" s="280">
        <v>11.499000000000001</v>
      </c>
      <c r="AF102" s="280">
        <v>103</v>
      </c>
    </row>
    <row r="103" spans="24:32">
      <c r="X103" s="280">
        <v>293</v>
      </c>
      <c r="Y103" s="280" t="s">
        <v>971</v>
      </c>
      <c r="Z103" s="280" t="s">
        <v>972</v>
      </c>
      <c r="AA103" s="280" t="s">
        <v>232</v>
      </c>
      <c r="AB103" s="280" t="s">
        <v>769</v>
      </c>
      <c r="AC103" s="280">
        <v>0</v>
      </c>
      <c r="AD103" s="282">
        <v>5.4386574074074073E-2</v>
      </c>
      <c r="AE103" s="280">
        <v>11.492000000000001</v>
      </c>
      <c r="AF103" s="280">
        <v>104</v>
      </c>
    </row>
    <row r="104" spans="24:32">
      <c r="X104" s="280">
        <v>177</v>
      </c>
      <c r="Y104" s="280" t="s">
        <v>973</v>
      </c>
      <c r="Z104" s="280" t="s">
        <v>974</v>
      </c>
      <c r="AA104" s="280" t="s">
        <v>232</v>
      </c>
      <c r="AB104" s="280" t="s">
        <v>873</v>
      </c>
      <c r="AC104" s="280" t="s">
        <v>820</v>
      </c>
      <c r="AD104" s="282">
        <v>5.4444444444444441E-2</v>
      </c>
      <c r="AE104" s="280">
        <v>11.48</v>
      </c>
      <c r="AF104" s="280">
        <v>105</v>
      </c>
    </row>
    <row r="105" spans="24:32" ht="45">
      <c r="X105" s="280">
        <v>266</v>
      </c>
      <c r="Y105" s="280" t="s">
        <v>975</v>
      </c>
      <c r="Z105" s="280" t="s">
        <v>894</v>
      </c>
      <c r="AA105" s="280" t="s">
        <v>232</v>
      </c>
      <c r="AB105" s="280" t="s">
        <v>864</v>
      </c>
      <c r="AC105" s="280" t="s">
        <v>962</v>
      </c>
      <c r="AD105" s="282">
        <v>5.4537037037037044E-2</v>
      </c>
      <c r="AE105" s="280">
        <v>11.46</v>
      </c>
      <c r="AF105" s="280">
        <v>106</v>
      </c>
    </row>
    <row r="106" spans="24:32" ht="45">
      <c r="X106" s="280">
        <v>292</v>
      </c>
      <c r="Y106" s="280" t="s">
        <v>976</v>
      </c>
      <c r="Z106" s="280" t="s">
        <v>977</v>
      </c>
      <c r="AA106" s="280" t="s">
        <v>232</v>
      </c>
      <c r="AB106" s="280" t="s">
        <v>782</v>
      </c>
      <c r="AC106" s="280" t="s">
        <v>978</v>
      </c>
      <c r="AD106" s="282">
        <v>5.4722222222222228E-2</v>
      </c>
      <c r="AE106" s="280">
        <v>11.420999999999999</v>
      </c>
      <c r="AF106" s="280">
        <v>107</v>
      </c>
    </row>
    <row r="107" spans="24:32">
      <c r="X107" s="280">
        <v>447</v>
      </c>
      <c r="Y107" s="280" t="s">
        <v>979</v>
      </c>
      <c r="Z107" s="280" t="s">
        <v>856</v>
      </c>
      <c r="AA107" s="280" t="s">
        <v>232</v>
      </c>
      <c r="AB107" s="280" t="s">
        <v>769</v>
      </c>
      <c r="AC107" s="280" t="s">
        <v>870</v>
      </c>
      <c r="AD107" s="282">
        <v>5.4780092592592589E-2</v>
      </c>
      <c r="AE107" s="280">
        <v>11.409000000000001</v>
      </c>
      <c r="AF107" s="280">
        <v>108</v>
      </c>
    </row>
    <row r="108" spans="24:32">
      <c r="X108" s="280">
        <v>502</v>
      </c>
      <c r="Y108" s="280" t="s">
        <v>980</v>
      </c>
      <c r="Z108" s="280" t="s">
        <v>981</v>
      </c>
      <c r="AA108" s="280" t="s">
        <v>232</v>
      </c>
      <c r="AB108" s="280" t="s">
        <v>769</v>
      </c>
      <c r="AC108" s="280" t="s">
        <v>939</v>
      </c>
      <c r="AD108" s="282">
        <v>5.4814814814814816E-2</v>
      </c>
      <c r="AE108" s="280">
        <v>11.401999999999999</v>
      </c>
      <c r="AF108" s="280">
        <v>109</v>
      </c>
    </row>
    <row r="109" spans="24:32" ht="45">
      <c r="X109" s="280">
        <v>24</v>
      </c>
      <c r="Y109" s="280" t="s">
        <v>982</v>
      </c>
      <c r="Z109" s="280" t="s">
        <v>983</v>
      </c>
      <c r="AA109" s="280" t="s">
        <v>232</v>
      </c>
      <c r="AB109" s="280" t="s">
        <v>782</v>
      </c>
      <c r="AC109" s="280" t="s">
        <v>984</v>
      </c>
      <c r="AD109" s="282">
        <v>5.4849537037037037E-2</v>
      </c>
      <c r="AE109" s="280">
        <v>11.395</v>
      </c>
      <c r="AF109" s="280">
        <v>110</v>
      </c>
    </row>
    <row r="110" spans="24:32" ht="30">
      <c r="X110" s="280">
        <v>97</v>
      </c>
      <c r="Y110" s="280" t="s">
        <v>985</v>
      </c>
      <c r="Z110" s="280" t="s">
        <v>969</v>
      </c>
      <c r="AA110" s="280" t="s">
        <v>232</v>
      </c>
      <c r="AB110" s="280" t="s">
        <v>782</v>
      </c>
      <c r="AC110" s="280">
        <v>0</v>
      </c>
      <c r="AD110" s="282">
        <v>5.4872685185185184E-2</v>
      </c>
      <c r="AE110" s="280">
        <v>11.39</v>
      </c>
      <c r="AF110" s="280">
        <v>111</v>
      </c>
    </row>
    <row r="111" spans="24:32">
      <c r="X111" s="280">
        <v>359</v>
      </c>
      <c r="Y111" s="280" t="s">
        <v>986</v>
      </c>
      <c r="Z111" s="280" t="s">
        <v>987</v>
      </c>
      <c r="AA111" s="280" t="s">
        <v>232</v>
      </c>
      <c r="AB111" s="280" t="s">
        <v>782</v>
      </c>
      <c r="AC111" s="280" t="s">
        <v>870</v>
      </c>
      <c r="AD111" s="282">
        <v>5.5150462962962964E-2</v>
      </c>
      <c r="AE111" s="280">
        <v>11.333</v>
      </c>
      <c r="AF111" s="280">
        <v>112</v>
      </c>
    </row>
    <row r="112" spans="24:32" ht="30">
      <c r="X112" s="280">
        <v>121</v>
      </c>
      <c r="Y112" s="280" t="s">
        <v>988</v>
      </c>
      <c r="Z112" s="280" t="s">
        <v>989</v>
      </c>
      <c r="AA112" s="280" t="s">
        <v>232</v>
      </c>
      <c r="AB112" s="280" t="s">
        <v>769</v>
      </c>
      <c r="AC112" s="280">
        <v>0</v>
      </c>
      <c r="AD112" s="282">
        <v>5.5162037037037037E-2</v>
      </c>
      <c r="AE112" s="280">
        <v>11.33</v>
      </c>
      <c r="AF112" s="280">
        <v>113</v>
      </c>
    </row>
    <row r="113" spans="24:32">
      <c r="X113" s="280">
        <v>501</v>
      </c>
      <c r="Y113" s="280" t="s">
        <v>990</v>
      </c>
      <c r="Z113" s="280" t="s">
        <v>863</v>
      </c>
      <c r="AA113" s="280" t="s">
        <v>232</v>
      </c>
      <c r="AB113" s="280" t="s">
        <v>873</v>
      </c>
      <c r="AC113" s="280">
        <v>0</v>
      </c>
      <c r="AD113" s="282">
        <v>5.5266203703703699E-2</v>
      </c>
      <c r="AE113" s="280">
        <v>11.308999999999999</v>
      </c>
      <c r="AF113" s="280">
        <v>114</v>
      </c>
    </row>
    <row r="114" spans="24:32">
      <c r="X114" s="280">
        <v>389</v>
      </c>
      <c r="Y114" s="280" t="s">
        <v>991</v>
      </c>
      <c r="Z114" s="280" t="s">
        <v>912</v>
      </c>
      <c r="AA114" s="280" t="s">
        <v>232</v>
      </c>
      <c r="AB114" s="280" t="s">
        <v>873</v>
      </c>
      <c r="AC114" s="280">
        <v>0</v>
      </c>
      <c r="AD114" s="282">
        <v>5.5312499999999994E-2</v>
      </c>
      <c r="AE114" s="280">
        <v>11.298999999999999</v>
      </c>
      <c r="AF114" s="280">
        <v>115</v>
      </c>
    </row>
    <row r="115" spans="24:32">
      <c r="X115" s="280">
        <v>269</v>
      </c>
      <c r="Y115" s="280" t="s">
        <v>992</v>
      </c>
      <c r="Z115" s="280" t="s">
        <v>875</v>
      </c>
      <c r="AA115" s="280" t="s">
        <v>232</v>
      </c>
      <c r="AB115" s="280" t="s">
        <v>782</v>
      </c>
      <c r="AC115" s="280">
        <v>0</v>
      </c>
      <c r="AD115" s="282">
        <v>5.5347222222222221E-2</v>
      </c>
      <c r="AE115" s="280">
        <v>11.292</v>
      </c>
      <c r="AF115" s="280">
        <v>116</v>
      </c>
    </row>
    <row r="116" spans="24:32" ht="30">
      <c r="X116" s="280">
        <v>255</v>
      </c>
      <c r="Y116" s="280" t="s">
        <v>993</v>
      </c>
      <c r="Z116" s="280" t="s">
        <v>877</v>
      </c>
      <c r="AA116" s="280" t="s">
        <v>232</v>
      </c>
      <c r="AB116" s="280" t="s">
        <v>831</v>
      </c>
      <c r="AC116" s="280" t="s">
        <v>994</v>
      </c>
      <c r="AD116" s="282">
        <v>5.5370370370370368E-2</v>
      </c>
      <c r="AE116" s="280">
        <v>11.288</v>
      </c>
      <c r="AF116" s="280">
        <v>117</v>
      </c>
    </row>
    <row r="117" spans="24:32" ht="30">
      <c r="X117" s="280">
        <v>171</v>
      </c>
      <c r="Y117" s="280" t="s">
        <v>995</v>
      </c>
      <c r="Z117" s="280" t="s">
        <v>996</v>
      </c>
      <c r="AA117" s="280" t="s">
        <v>232</v>
      </c>
      <c r="AB117" s="280" t="s">
        <v>782</v>
      </c>
      <c r="AC117" s="280">
        <v>0</v>
      </c>
      <c r="AD117" s="282">
        <v>5.5381944444444442E-2</v>
      </c>
      <c r="AE117" s="280">
        <v>11.285</v>
      </c>
      <c r="AF117" s="280">
        <v>118</v>
      </c>
    </row>
    <row r="118" spans="24:32" ht="45">
      <c r="X118" s="280">
        <v>279</v>
      </c>
      <c r="Y118" s="280" t="s">
        <v>997</v>
      </c>
      <c r="Z118" s="280" t="s">
        <v>998</v>
      </c>
      <c r="AA118" s="280" t="s">
        <v>232</v>
      </c>
      <c r="AB118" s="280" t="s">
        <v>864</v>
      </c>
      <c r="AC118" s="280" t="s">
        <v>962</v>
      </c>
      <c r="AD118" s="282">
        <v>5.541666666666667E-2</v>
      </c>
      <c r="AE118" s="280">
        <v>11.278</v>
      </c>
      <c r="AF118" s="280">
        <v>119</v>
      </c>
    </row>
    <row r="119" spans="24:32">
      <c r="X119" s="280">
        <v>23</v>
      </c>
      <c r="Y119" s="280" t="s">
        <v>999</v>
      </c>
      <c r="Z119" s="280" t="s">
        <v>818</v>
      </c>
      <c r="AA119" s="280" t="s">
        <v>232</v>
      </c>
      <c r="AB119" s="280" t="s">
        <v>873</v>
      </c>
      <c r="AC119" s="280" t="s">
        <v>943</v>
      </c>
      <c r="AD119" s="282">
        <v>5.545138888888889E-2</v>
      </c>
      <c r="AE119" s="280">
        <v>11.271000000000001</v>
      </c>
      <c r="AF119" s="280">
        <v>120</v>
      </c>
    </row>
    <row r="120" spans="24:32" ht="45">
      <c r="X120" s="280">
        <v>278</v>
      </c>
      <c r="Y120" s="280" t="s">
        <v>1000</v>
      </c>
      <c r="Z120" s="280" t="s">
        <v>1001</v>
      </c>
      <c r="AA120" s="280" t="s">
        <v>232</v>
      </c>
      <c r="AB120" s="280" t="s">
        <v>864</v>
      </c>
      <c r="AC120" s="280" t="s">
        <v>962</v>
      </c>
      <c r="AD120" s="282">
        <v>5.5486111111111104E-2</v>
      </c>
      <c r="AE120" s="280">
        <v>11.263999999999999</v>
      </c>
      <c r="AF120" s="280">
        <v>121</v>
      </c>
    </row>
    <row r="121" spans="24:32" ht="30">
      <c r="X121" s="280">
        <v>21</v>
      </c>
      <c r="Y121" s="280" t="s">
        <v>1002</v>
      </c>
      <c r="Z121" s="280" t="s">
        <v>916</v>
      </c>
      <c r="AA121" s="280" t="s">
        <v>232</v>
      </c>
      <c r="AB121" s="280" t="s">
        <v>819</v>
      </c>
      <c r="AC121" s="280">
        <v>0</v>
      </c>
      <c r="AD121" s="282">
        <v>5.5497685185185185E-2</v>
      </c>
      <c r="AE121" s="280">
        <v>11.262</v>
      </c>
      <c r="AF121" s="280">
        <v>122</v>
      </c>
    </row>
    <row r="122" spans="24:32">
      <c r="X122" s="280">
        <v>284</v>
      </c>
      <c r="Y122" s="280" t="s">
        <v>1003</v>
      </c>
      <c r="Z122" s="280" t="s">
        <v>1004</v>
      </c>
      <c r="AA122" s="280" t="s">
        <v>232</v>
      </c>
      <c r="AB122" s="280" t="s">
        <v>873</v>
      </c>
      <c r="AC122" s="280">
        <v>0</v>
      </c>
      <c r="AD122" s="282">
        <v>5.5555555555555552E-2</v>
      </c>
      <c r="AE122" s="280">
        <v>11.25</v>
      </c>
      <c r="AF122" s="280">
        <v>123</v>
      </c>
    </row>
    <row r="123" spans="24:32">
      <c r="X123" s="280">
        <v>207</v>
      </c>
      <c r="Y123" s="280" t="s">
        <v>1005</v>
      </c>
      <c r="Z123" s="280" t="s">
        <v>807</v>
      </c>
      <c r="AA123" s="280" t="s">
        <v>232</v>
      </c>
      <c r="AB123" s="280" t="s">
        <v>769</v>
      </c>
      <c r="AC123" s="280">
        <v>0</v>
      </c>
      <c r="AD123" s="282">
        <v>5.5601851851851847E-2</v>
      </c>
      <c r="AE123" s="280">
        <v>11.241</v>
      </c>
      <c r="AF123" s="280">
        <v>124</v>
      </c>
    </row>
    <row r="124" spans="24:32" ht="30">
      <c r="X124" s="280">
        <v>329</v>
      </c>
      <c r="Y124" s="280" t="s">
        <v>1006</v>
      </c>
      <c r="Z124" s="280" t="s">
        <v>916</v>
      </c>
      <c r="AA124" s="280" t="s">
        <v>232</v>
      </c>
      <c r="AB124" s="280" t="s">
        <v>769</v>
      </c>
      <c r="AC124" s="280">
        <v>0</v>
      </c>
      <c r="AD124" s="282">
        <v>5.5740740740740737E-2</v>
      </c>
      <c r="AE124" s="280">
        <v>11.212999999999999</v>
      </c>
      <c r="AF124" s="280">
        <v>125</v>
      </c>
    </row>
    <row r="125" spans="24:32">
      <c r="X125" s="280">
        <v>316</v>
      </c>
      <c r="Y125" s="280" t="s">
        <v>1002</v>
      </c>
      <c r="Z125" s="280" t="s">
        <v>1007</v>
      </c>
      <c r="AA125" s="280" t="s">
        <v>232</v>
      </c>
      <c r="AB125" s="280" t="s">
        <v>769</v>
      </c>
      <c r="AC125" s="280" t="s">
        <v>870</v>
      </c>
      <c r="AD125" s="282">
        <v>5.5775462962962964E-2</v>
      </c>
      <c r="AE125" s="280">
        <v>11.206</v>
      </c>
      <c r="AF125" s="280">
        <v>126</v>
      </c>
    </row>
    <row r="126" spans="24:32">
      <c r="X126" s="280">
        <v>108</v>
      </c>
      <c r="Y126" s="280" t="s">
        <v>1008</v>
      </c>
      <c r="Z126" s="280" t="s">
        <v>1001</v>
      </c>
      <c r="AA126" s="280" t="s">
        <v>232</v>
      </c>
      <c r="AB126" s="280" t="s">
        <v>769</v>
      </c>
      <c r="AC126" s="280" t="s">
        <v>1009</v>
      </c>
      <c r="AD126" s="282">
        <v>5.5856481481481479E-2</v>
      </c>
      <c r="AE126" s="280">
        <v>11.189</v>
      </c>
      <c r="AF126" s="280">
        <v>127</v>
      </c>
    </row>
    <row r="127" spans="24:32" ht="30">
      <c r="X127" s="280">
        <v>436</v>
      </c>
      <c r="Y127" s="280" t="s">
        <v>1010</v>
      </c>
      <c r="Z127" s="280" t="s">
        <v>797</v>
      </c>
      <c r="AA127" s="280" t="s">
        <v>232</v>
      </c>
      <c r="AB127" s="280" t="s">
        <v>769</v>
      </c>
      <c r="AC127" s="280" t="s">
        <v>1011</v>
      </c>
      <c r="AD127" s="282">
        <v>5.5925925925925928E-2</v>
      </c>
      <c r="AE127" s="280">
        <v>11.175000000000001</v>
      </c>
      <c r="AF127" s="280">
        <v>128</v>
      </c>
    </row>
    <row r="128" spans="24:32" ht="30">
      <c r="X128" s="280">
        <v>64</v>
      </c>
      <c r="Y128" s="280" t="s">
        <v>1012</v>
      </c>
      <c r="Z128" s="280" t="s">
        <v>1013</v>
      </c>
      <c r="AA128" s="280" t="s">
        <v>232</v>
      </c>
      <c r="AB128" s="280" t="s">
        <v>769</v>
      </c>
      <c r="AC128" s="280" t="s">
        <v>1014</v>
      </c>
      <c r="AD128" s="282">
        <v>5.5937500000000001E-2</v>
      </c>
      <c r="AE128" s="280">
        <v>11.173</v>
      </c>
      <c r="AF128" s="280">
        <v>129</v>
      </c>
    </row>
    <row r="129" spans="24:32">
      <c r="X129" s="280">
        <v>139</v>
      </c>
      <c r="Y129" s="280" t="s">
        <v>806</v>
      </c>
      <c r="Z129" s="280" t="s">
        <v>1015</v>
      </c>
      <c r="AA129" s="280" t="s">
        <v>232</v>
      </c>
      <c r="AB129" s="280" t="s">
        <v>769</v>
      </c>
      <c r="AC129" s="280">
        <v>0</v>
      </c>
      <c r="AD129" s="282">
        <v>5.5972222222222222E-2</v>
      </c>
      <c r="AE129" s="280">
        <v>11.166</v>
      </c>
      <c r="AF129" s="280">
        <v>130</v>
      </c>
    </row>
    <row r="130" spans="24:32" ht="30">
      <c r="X130" s="280">
        <v>290</v>
      </c>
      <c r="Y130" s="280" t="s">
        <v>1016</v>
      </c>
      <c r="Z130" s="280" t="s">
        <v>1017</v>
      </c>
      <c r="AA130" s="280" t="s">
        <v>889</v>
      </c>
      <c r="AB130" s="280" t="s">
        <v>864</v>
      </c>
      <c r="AC130" s="280" t="s">
        <v>854</v>
      </c>
      <c r="AD130" s="282">
        <v>5.6018518518518523E-2</v>
      </c>
      <c r="AE130" s="280">
        <v>11.157</v>
      </c>
      <c r="AF130" s="280">
        <v>131</v>
      </c>
    </row>
    <row r="131" spans="24:32" ht="30">
      <c r="X131" s="280">
        <v>374</v>
      </c>
      <c r="Y131" s="280" t="s">
        <v>1018</v>
      </c>
      <c r="Z131" s="280" t="s">
        <v>1019</v>
      </c>
      <c r="AA131" s="280" t="s">
        <v>232</v>
      </c>
      <c r="AB131" s="280" t="s">
        <v>831</v>
      </c>
      <c r="AC131" s="280" t="s">
        <v>1020</v>
      </c>
      <c r="AD131" s="282">
        <v>5.6053240740740744E-2</v>
      </c>
      <c r="AE131" s="280">
        <v>11.15</v>
      </c>
      <c r="AF131" s="280">
        <v>132</v>
      </c>
    </row>
    <row r="132" spans="24:32">
      <c r="X132" s="280">
        <v>481</v>
      </c>
      <c r="Y132" s="280" t="s">
        <v>1021</v>
      </c>
      <c r="Z132" s="280" t="s">
        <v>1022</v>
      </c>
      <c r="AA132" s="280" t="s">
        <v>232</v>
      </c>
      <c r="AB132" s="280" t="s">
        <v>782</v>
      </c>
      <c r="AC132" s="280">
        <v>0</v>
      </c>
      <c r="AD132" s="282">
        <v>5.6064814814814817E-2</v>
      </c>
      <c r="AE132" s="280">
        <v>11.148</v>
      </c>
      <c r="AF132" s="280">
        <v>133</v>
      </c>
    </row>
    <row r="133" spans="24:32">
      <c r="X133" s="280">
        <v>76</v>
      </c>
      <c r="Y133" s="280" t="s">
        <v>1023</v>
      </c>
      <c r="Z133" s="280" t="s">
        <v>912</v>
      </c>
      <c r="AA133" s="280" t="s">
        <v>232</v>
      </c>
      <c r="AB133" s="280" t="s">
        <v>782</v>
      </c>
      <c r="AC133" s="280">
        <v>0</v>
      </c>
      <c r="AD133" s="282">
        <v>5.6168981481481479E-2</v>
      </c>
      <c r="AE133" s="280">
        <v>11.127000000000001</v>
      </c>
      <c r="AF133" s="280">
        <v>134</v>
      </c>
    </row>
    <row r="134" spans="24:32" ht="30">
      <c r="X134" s="280">
        <v>180</v>
      </c>
      <c r="Y134" s="280" t="s">
        <v>1024</v>
      </c>
      <c r="Z134" s="280" t="s">
        <v>1025</v>
      </c>
      <c r="AA134" s="280" t="s">
        <v>232</v>
      </c>
      <c r="AB134" s="280" t="s">
        <v>819</v>
      </c>
      <c r="AC134" s="280">
        <v>0</v>
      </c>
      <c r="AD134" s="282">
        <v>5.6296296296296296E-2</v>
      </c>
      <c r="AE134" s="280">
        <v>11.102</v>
      </c>
      <c r="AF134" s="280">
        <v>135</v>
      </c>
    </row>
    <row r="135" spans="24:32" ht="30">
      <c r="X135" s="280">
        <v>74</v>
      </c>
      <c r="Y135" s="280" t="s">
        <v>1026</v>
      </c>
      <c r="Z135" s="280" t="s">
        <v>800</v>
      </c>
      <c r="AA135" s="280" t="s">
        <v>232</v>
      </c>
      <c r="AB135" s="280" t="s">
        <v>864</v>
      </c>
      <c r="AC135" s="280" t="s">
        <v>867</v>
      </c>
      <c r="AD135" s="282">
        <v>5.6307870370370362E-2</v>
      </c>
      <c r="AE135" s="280">
        <v>11.1</v>
      </c>
      <c r="AF135" s="280">
        <v>136</v>
      </c>
    </row>
    <row r="136" spans="24:32" ht="30">
      <c r="X136" s="280">
        <v>203</v>
      </c>
      <c r="Y136" s="280" t="s">
        <v>1027</v>
      </c>
      <c r="Z136" s="280" t="s">
        <v>1028</v>
      </c>
      <c r="AA136" s="280" t="s">
        <v>232</v>
      </c>
      <c r="AB136" s="280" t="s">
        <v>782</v>
      </c>
      <c r="AC136" s="280">
        <v>0</v>
      </c>
      <c r="AD136" s="282">
        <v>5.634259259259259E-2</v>
      </c>
      <c r="AE136" s="280">
        <v>11.093</v>
      </c>
      <c r="AF136" s="280">
        <v>137</v>
      </c>
    </row>
    <row r="137" spans="24:32" ht="30">
      <c r="X137" s="280">
        <v>88</v>
      </c>
      <c r="Y137" s="280" t="s">
        <v>960</v>
      </c>
      <c r="Z137" s="280" t="s">
        <v>1029</v>
      </c>
      <c r="AA137" s="280" t="s">
        <v>232</v>
      </c>
      <c r="AB137" s="280" t="s">
        <v>831</v>
      </c>
      <c r="AC137" s="280" t="s">
        <v>783</v>
      </c>
      <c r="AD137" s="282">
        <v>5.6365740740740744E-2</v>
      </c>
      <c r="AE137" s="280">
        <v>11.087999999999999</v>
      </c>
      <c r="AF137" s="280">
        <v>138</v>
      </c>
    </row>
    <row r="138" spans="24:32" ht="30">
      <c r="X138" s="280">
        <v>432</v>
      </c>
      <c r="Y138" s="280" t="s">
        <v>799</v>
      </c>
      <c r="Z138" s="280" t="s">
        <v>1030</v>
      </c>
      <c r="AA138" s="280" t="s">
        <v>232</v>
      </c>
      <c r="AB138" s="280" t="s">
        <v>782</v>
      </c>
      <c r="AC138" s="280">
        <v>0</v>
      </c>
      <c r="AD138" s="282">
        <v>5.6400462962962965E-2</v>
      </c>
      <c r="AE138" s="280">
        <v>11.081</v>
      </c>
      <c r="AF138" s="280">
        <v>139</v>
      </c>
    </row>
    <row r="139" spans="24:32">
      <c r="X139" s="280">
        <v>257</v>
      </c>
      <c r="Y139" s="280" t="s">
        <v>1031</v>
      </c>
      <c r="Z139" s="280" t="s">
        <v>912</v>
      </c>
      <c r="AA139" s="280" t="s">
        <v>232</v>
      </c>
      <c r="AB139" s="280" t="s">
        <v>769</v>
      </c>
      <c r="AC139" s="280">
        <v>0</v>
      </c>
      <c r="AD139" s="282">
        <v>5.6458333333333333E-2</v>
      </c>
      <c r="AE139" s="280">
        <v>11.07</v>
      </c>
      <c r="AF139" s="280">
        <v>140</v>
      </c>
    </row>
    <row r="140" spans="24:32" ht="30">
      <c r="X140" s="280">
        <v>490</v>
      </c>
      <c r="Y140" s="280" t="s">
        <v>799</v>
      </c>
      <c r="Z140" s="280" t="s">
        <v>1021</v>
      </c>
      <c r="AA140" s="280" t="s">
        <v>232</v>
      </c>
      <c r="AB140" s="280" t="s">
        <v>864</v>
      </c>
      <c r="AC140" s="280">
        <v>0</v>
      </c>
      <c r="AD140" s="282">
        <v>5.65162037037037E-2</v>
      </c>
      <c r="AE140" s="280">
        <v>11.058999999999999</v>
      </c>
      <c r="AF140" s="280">
        <v>141</v>
      </c>
    </row>
    <row r="141" spans="24:32">
      <c r="X141" s="280">
        <v>5</v>
      </c>
      <c r="Y141" s="280" t="s">
        <v>1032</v>
      </c>
      <c r="Z141" s="280" t="s">
        <v>1033</v>
      </c>
      <c r="AA141" s="280" t="s">
        <v>232</v>
      </c>
      <c r="AB141" s="280" t="s">
        <v>831</v>
      </c>
      <c r="AC141" s="280">
        <v>0</v>
      </c>
      <c r="AD141" s="282">
        <v>5.6574074074074075E-2</v>
      </c>
      <c r="AE141" s="280">
        <v>11.047000000000001</v>
      </c>
      <c r="AF141" s="280">
        <v>142</v>
      </c>
    </row>
    <row r="142" spans="24:32">
      <c r="X142" s="280">
        <v>448</v>
      </c>
      <c r="Y142" s="280" t="s">
        <v>1034</v>
      </c>
      <c r="Z142" s="280" t="s">
        <v>1035</v>
      </c>
      <c r="AA142" s="280" t="s">
        <v>889</v>
      </c>
      <c r="AB142" s="280" t="s">
        <v>769</v>
      </c>
      <c r="AC142" s="280" t="s">
        <v>1011</v>
      </c>
      <c r="AD142" s="282">
        <v>5.6620370370370376E-2</v>
      </c>
      <c r="AE142" s="280">
        <v>11.038</v>
      </c>
      <c r="AF142" s="280">
        <v>143</v>
      </c>
    </row>
    <row r="143" spans="24:32" ht="30">
      <c r="X143" s="280">
        <v>314</v>
      </c>
      <c r="Y143" s="280" t="s">
        <v>1036</v>
      </c>
      <c r="Z143" s="280" t="s">
        <v>969</v>
      </c>
      <c r="AA143" s="280" t="s">
        <v>232</v>
      </c>
      <c r="AB143" s="280" t="s">
        <v>782</v>
      </c>
      <c r="AC143" s="280" t="s">
        <v>783</v>
      </c>
      <c r="AD143" s="282">
        <v>5.6643518518518517E-2</v>
      </c>
      <c r="AE143" s="280">
        <v>11.034000000000001</v>
      </c>
      <c r="AF143" s="280">
        <v>144</v>
      </c>
    </row>
    <row r="144" spans="24:32" ht="30">
      <c r="X144" s="280">
        <v>155</v>
      </c>
      <c r="Y144" s="280" t="s">
        <v>1037</v>
      </c>
      <c r="Z144" s="280" t="s">
        <v>850</v>
      </c>
      <c r="AA144" s="280" t="s">
        <v>232</v>
      </c>
      <c r="AB144" s="280" t="s">
        <v>831</v>
      </c>
      <c r="AC144" s="280" t="s">
        <v>783</v>
      </c>
      <c r="AD144" s="282">
        <v>5.6678240740740737E-2</v>
      </c>
      <c r="AE144" s="280">
        <v>11.026999999999999</v>
      </c>
      <c r="AF144" s="280">
        <v>145</v>
      </c>
    </row>
    <row r="145" spans="24:32" ht="30">
      <c r="X145" s="280">
        <v>451</v>
      </c>
      <c r="Y145" s="280" t="s">
        <v>1038</v>
      </c>
      <c r="Z145" s="280" t="s">
        <v>846</v>
      </c>
      <c r="AA145" s="280" t="s">
        <v>232</v>
      </c>
      <c r="AB145" s="280" t="s">
        <v>769</v>
      </c>
      <c r="AC145" s="280" t="s">
        <v>1039</v>
      </c>
      <c r="AD145" s="282">
        <v>5.6689814814814811E-2</v>
      </c>
      <c r="AE145" s="280">
        <v>11.025</v>
      </c>
      <c r="AF145" s="280">
        <v>146</v>
      </c>
    </row>
    <row r="146" spans="24:32" ht="30">
      <c r="X146" s="280">
        <v>478</v>
      </c>
      <c r="Y146" s="280" t="s">
        <v>1040</v>
      </c>
      <c r="Z146" s="280" t="s">
        <v>938</v>
      </c>
      <c r="AA146" s="280" t="s">
        <v>232</v>
      </c>
      <c r="AB146" s="280" t="s">
        <v>831</v>
      </c>
      <c r="AC146" s="280" t="s">
        <v>854</v>
      </c>
      <c r="AD146" s="282">
        <v>5.6759259259259259E-2</v>
      </c>
      <c r="AE146" s="280">
        <v>11.010999999999999</v>
      </c>
      <c r="AF146" s="280">
        <v>147</v>
      </c>
    </row>
    <row r="147" spans="24:32">
      <c r="X147" s="280">
        <v>363</v>
      </c>
      <c r="Y147" s="280" t="s">
        <v>1041</v>
      </c>
      <c r="Z147" s="280" t="s">
        <v>1042</v>
      </c>
      <c r="AA147" s="280" t="s">
        <v>232</v>
      </c>
      <c r="AB147" s="280" t="s">
        <v>769</v>
      </c>
      <c r="AC147" s="280">
        <v>0</v>
      </c>
      <c r="AD147" s="282">
        <v>5.679398148148148E-2</v>
      </c>
      <c r="AE147" s="280">
        <v>11.005000000000001</v>
      </c>
      <c r="AF147" s="280">
        <v>148</v>
      </c>
    </row>
    <row r="148" spans="24:32">
      <c r="X148" s="280">
        <v>370</v>
      </c>
      <c r="Y148" s="280" t="s">
        <v>1043</v>
      </c>
      <c r="Z148" s="280" t="s">
        <v>1013</v>
      </c>
      <c r="AA148" s="280" t="s">
        <v>232</v>
      </c>
      <c r="AB148" s="280" t="s">
        <v>769</v>
      </c>
      <c r="AC148" s="280" t="s">
        <v>870</v>
      </c>
      <c r="AD148" s="282">
        <v>5.693287037037037E-2</v>
      </c>
      <c r="AE148" s="280">
        <v>10.978</v>
      </c>
      <c r="AF148" s="280">
        <v>149</v>
      </c>
    </row>
    <row r="149" spans="24:32">
      <c r="X149" s="280">
        <v>328</v>
      </c>
      <c r="Y149" s="280" t="s">
        <v>971</v>
      </c>
      <c r="Z149" s="280" t="s">
        <v>866</v>
      </c>
      <c r="AA149" s="280" t="s">
        <v>232</v>
      </c>
      <c r="AB149" s="280" t="s">
        <v>769</v>
      </c>
      <c r="AC149" s="280" t="s">
        <v>870</v>
      </c>
      <c r="AD149" s="282">
        <v>5.6990740740740738E-2</v>
      </c>
      <c r="AE149" s="280">
        <v>10.967000000000001</v>
      </c>
      <c r="AF149" s="280">
        <v>150</v>
      </c>
    </row>
    <row r="150" spans="24:32" ht="30">
      <c r="X150" s="280">
        <v>306</v>
      </c>
      <c r="Y150" s="280" t="s">
        <v>1044</v>
      </c>
      <c r="Z150" s="280" t="s">
        <v>977</v>
      </c>
      <c r="AA150" s="280" t="s">
        <v>232</v>
      </c>
      <c r="AB150" s="280" t="s">
        <v>831</v>
      </c>
      <c r="AC150" s="280" t="s">
        <v>790</v>
      </c>
      <c r="AD150" s="282">
        <v>5.7094907407407407E-2</v>
      </c>
      <c r="AE150" s="280">
        <v>10.946999999999999</v>
      </c>
      <c r="AF150" s="280">
        <v>151</v>
      </c>
    </row>
    <row r="151" spans="24:32" ht="45">
      <c r="X151" s="280">
        <v>482</v>
      </c>
      <c r="Y151" s="280" t="s">
        <v>1045</v>
      </c>
      <c r="Z151" s="280" t="s">
        <v>877</v>
      </c>
      <c r="AA151" s="280" t="s">
        <v>232</v>
      </c>
      <c r="AB151" s="280" t="s">
        <v>782</v>
      </c>
      <c r="AC151" s="280" t="s">
        <v>1046</v>
      </c>
      <c r="AD151" s="282">
        <v>5.7175925925925929E-2</v>
      </c>
      <c r="AE151" s="280">
        <v>10.930999999999999</v>
      </c>
      <c r="AF151" s="280">
        <v>152</v>
      </c>
    </row>
    <row r="152" spans="24:32">
      <c r="X152" s="280">
        <v>142</v>
      </c>
      <c r="Y152" s="280" t="s">
        <v>1047</v>
      </c>
      <c r="Z152" s="280" t="s">
        <v>884</v>
      </c>
      <c r="AA152" s="280" t="s">
        <v>232</v>
      </c>
      <c r="AB152" s="280" t="s">
        <v>769</v>
      </c>
      <c r="AC152" s="280">
        <v>0</v>
      </c>
      <c r="AD152" s="282">
        <v>5.7199074074074076E-2</v>
      </c>
      <c r="AE152" s="280">
        <v>10.927</v>
      </c>
      <c r="AF152" s="280">
        <v>153</v>
      </c>
    </row>
    <row r="153" spans="24:32" ht="30">
      <c r="X153" s="280">
        <v>460</v>
      </c>
      <c r="Y153" s="280" t="s">
        <v>1048</v>
      </c>
      <c r="Z153" s="280" t="s">
        <v>1049</v>
      </c>
      <c r="AA153" s="280" t="s">
        <v>232</v>
      </c>
      <c r="AB153" s="280" t="s">
        <v>782</v>
      </c>
      <c r="AC153" s="280" t="s">
        <v>1050</v>
      </c>
      <c r="AD153" s="282">
        <v>5.724537037037037E-2</v>
      </c>
      <c r="AE153" s="280">
        <v>10.917999999999999</v>
      </c>
      <c r="AF153" s="280">
        <v>154</v>
      </c>
    </row>
    <row r="154" spans="24:32" ht="30">
      <c r="X154" s="280">
        <v>47</v>
      </c>
      <c r="Y154" s="280" t="s">
        <v>1051</v>
      </c>
      <c r="Z154" s="280" t="s">
        <v>1052</v>
      </c>
      <c r="AA154" s="280" t="s">
        <v>232</v>
      </c>
      <c r="AB154" s="280" t="s">
        <v>782</v>
      </c>
      <c r="AC154" s="280">
        <v>0</v>
      </c>
      <c r="AD154" s="282">
        <v>5.7256944444444437E-2</v>
      </c>
      <c r="AE154" s="280">
        <v>10.916</v>
      </c>
      <c r="AF154" s="280">
        <v>155</v>
      </c>
    </row>
    <row r="155" spans="24:32" ht="30">
      <c r="X155" s="280">
        <v>458</v>
      </c>
      <c r="Y155" s="280" t="s">
        <v>1053</v>
      </c>
      <c r="Z155" s="280" t="s">
        <v>1054</v>
      </c>
      <c r="AA155" s="280" t="s">
        <v>889</v>
      </c>
      <c r="AB155" s="280" t="s">
        <v>782</v>
      </c>
      <c r="AC155" s="280" t="s">
        <v>1055</v>
      </c>
      <c r="AD155" s="282">
        <v>5.7303240740740745E-2</v>
      </c>
      <c r="AE155" s="280">
        <v>10.907</v>
      </c>
      <c r="AF155" s="280">
        <v>156</v>
      </c>
    </row>
    <row r="156" spans="24:32">
      <c r="X156" s="280">
        <v>66</v>
      </c>
      <c r="Y156" s="280" t="s">
        <v>856</v>
      </c>
      <c r="Z156" s="280" t="s">
        <v>1056</v>
      </c>
      <c r="AA156" s="280" t="s">
        <v>889</v>
      </c>
      <c r="AB156" s="280" t="s">
        <v>782</v>
      </c>
      <c r="AC156" s="280" t="s">
        <v>1057</v>
      </c>
      <c r="AD156" s="282">
        <v>5.7314814814814818E-2</v>
      </c>
      <c r="AE156" s="280">
        <v>10.904999999999999</v>
      </c>
      <c r="AF156" s="280">
        <v>157</v>
      </c>
    </row>
    <row r="157" spans="24:32">
      <c r="X157" s="280">
        <v>211</v>
      </c>
      <c r="Y157" s="280" t="s">
        <v>806</v>
      </c>
      <c r="Z157" s="280" t="s">
        <v>1058</v>
      </c>
      <c r="AA157" s="280" t="s">
        <v>232</v>
      </c>
      <c r="AB157" s="280" t="s">
        <v>782</v>
      </c>
      <c r="AC157" s="280">
        <v>0</v>
      </c>
      <c r="AD157" s="282">
        <v>5.7384259259259253E-2</v>
      </c>
      <c r="AE157" s="280">
        <v>10.891</v>
      </c>
      <c r="AF157" s="280">
        <v>158</v>
      </c>
    </row>
    <row r="158" spans="24:32" ht="30">
      <c r="X158" s="280">
        <v>424</v>
      </c>
      <c r="Y158" s="280" t="s">
        <v>1059</v>
      </c>
      <c r="Z158" s="280" t="s">
        <v>983</v>
      </c>
      <c r="AA158" s="280" t="s">
        <v>232</v>
      </c>
      <c r="AB158" s="280" t="s">
        <v>782</v>
      </c>
      <c r="AC158" s="280" t="s">
        <v>1060</v>
      </c>
      <c r="AD158" s="282">
        <v>5.7418981481481481E-2</v>
      </c>
      <c r="AE158" s="280">
        <v>10.885</v>
      </c>
      <c r="AF158" s="280">
        <v>159</v>
      </c>
    </row>
    <row r="159" spans="24:32">
      <c r="X159" s="280">
        <v>327</v>
      </c>
      <c r="Y159" s="280" t="s">
        <v>1061</v>
      </c>
      <c r="Z159" s="280" t="s">
        <v>850</v>
      </c>
      <c r="AA159" s="280" t="s">
        <v>232</v>
      </c>
      <c r="AB159" s="280" t="s">
        <v>831</v>
      </c>
      <c r="AC159" s="280">
        <v>0</v>
      </c>
      <c r="AD159" s="282">
        <v>5.7430555555555561E-2</v>
      </c>
      <c r="AE159" s="280">
        <v>10.882999999999999</v>
      </c>
      <c r="AF159" s="280">
        <v>160</v>
      </c>
    </row>
    <row r="160" spans="24:32" ht="45">
      <c r="X160" s="280">
        <v>277</v>
      </c>
      <c r="Y160" s="280" t="s">
        <v>1062</v>
      </c>
      <c r="Z160" s="280" t="s">
        <v>884</v>
      </c>
      <c r="AA160" s="280" t="s">
        <v>232</v>
      </c>
      <c r="AB160" s="280" t="s">
        <v>819</v>
      </c>
      <c r="AC160" s="280" t="s">
        <v>962</v>
      </c>
      <c r="AD160" s="282">
        <v>5.7476851851851855E-2</v>
      </c>
      <c r="AE160" s="280">
        <v>10.874000000000001</v>
      </c>
      <c r="AF160" s="280">
        <v>161</v>
      </c>
    </row>
    <row r="161" spans="24:32" ht="30">
      <c r="X161" s="280">
        <v>400</v>
      </c>
      <c r="Y161" s="280" t="s">
        <v>1063</v>
      </c>
      <c r="Z161" s="280" t="s">
        <v>1064</v>
      </c>
      <c r="AA161" s="280" t="s">
        <v>232</v>
      </c>
      <c r="AB161" s="280" t="s">
        <v>769</v>
      </c>
      <c r="AC161" s="280" t="s">
        <v>1065</v>
      </c>
      <c r="AD161" s="282">
        <v>5.7638888888888885E-2</v>
      </c>
      <c r="AE161" s="280">
        <v>10.843</v>
      </c>
      <c r="AF161" s="280">
        <v>162</v>
      </c>
    </row>
    <row r="162" spans="24:32" ht="30">
      <c r="X162" s="280">
        <v>486</v>
      </c>
      <c r="Y162" s="280" t="s">
        <v>1066</v>
      </c>
      <c r="Z162" s="280" t="s">
        <v>1007</v>
      </c>
      <c r="AA162" s="280" t="s">
        <v>232</v>
      </c>
      <c r="AB162" s="280" t="s">
        <v>782</v>
      </c>
      <c r="AC162" s="280" t="s">
        <v>1067</v>
      </c>
      <c r="AD162" s="282">
        <v>5.7662037037037039E-2</v>
      </c>
      <c r="AE162" s="280">
        <v>10.839</v>
      </c>
      <c r="AF162" s="280">
        <v>163</v>
      </c>
    </row>
    <row r="163" spans="24:32" ht="30">
      <c r="X163" s="280">
        <v>104</v>
      </c>
      <c r="Y163" s="280" t="s">
        <v>1068</v>
      </c>
      <c r="Z163" s="280" t="s">
        <v>1069</v>
      </c>
      <c r="AA163" s="280" t="s">
        <v>232</v>
      </c>
      <c r="AB163" s="280" t="s">
        <v>769</v>
      </c>
      <c r="AC163" s="280" t="s">
        <v>930</v>
      </c>
      <c r="AD163" s="282">
        <v>5.7719907407407407E-2</v>
      </c>
      <c r="AE163" s="280">
        <v>10.827999999999999</v>
      </c>
      <c r="AF163" s="280">
        <v>164</v>
      </c>
    </row>
    <row r="164" spans="24:32">
      <c r="X164" s="280">
        <v>131</v>
      </c>
      <c r="Y164" s="280" t="s">
        <v>1070</v>
      </c>
      <c r="Z164" s="280" t="s">
        <v>877</v>
      </c>
      <c r="AA164" s="280" t="s">
        <v>232</v>
      </c>
      <c r="AB164" s="280" t="s">
        <v>769</v>
      </c>
      <c r="AC164" s="280">
        <v>0</v>
      </c>
      <c r="AD164" s="282">
        <v>5.7777777777777782E-2</v>
      </c>
      <c r="AE164" s="280">
        <v>10.817</v>
      </c>
      <c r="AF164" s="280">
        <v>165</v>
      </c>
    </row>
    <row r="165" spans="24:32">
      <c r="X165" s="280">
        <v>169</v>
      </c>
      <c r="Y165" s="280" t="s">
        <v>1071</v>
      </c>
      <c r="Z165" s="280" t="s">
        <v>813</v>
      </c>
      <c r="AA165" s="280" t="s">
        <v>232</v>
      </c>
      <c r="AB165" s="280" t="s">
        <v>769</v>
      </c>
      <c r="AC165" s="280">
        <v>0</v>
      </c>
      <c r="AD165" s="282">
        <v>5.7824074074074076E-2</v>
      </c>
      <c r="AE165" s="280">
        <v>10.808999999999999</v>
      </c>
      <c r="AF165" s="280">
        <v>166</v>
      </c>
    </row>
    <row r="166" spans="24:32" ht="45">
      <c r="X166" s="280">
        <v>270</v>
      </c>
      <c r="Y166" s="280" t="s">
        <v>1072</v>
      </c>
      <c r="Z166" s="280" t="s">
        <v>907</v>
      </c>
      <c r="AA166" s="280" t="s">
        <v>232</v>
      </c>
      <c r="AB166" s="280" t="s">
        <v>819</v>
      </c>
      <c r="AC166" s="280" t="s">
        <v>962</v>
      </c>
      <c r="AD166" s="282">
        <v>5.8078703703703709E-2</v>
      </c>
      <c r="AE166" s="280">
        <v>10.760999999999999</v>
      </c>
      <c r="AF166" s="280">
        <v>167</v>
      </c>
    </row>
    <row r="167" spans="24:32" ht="30">
      <c r="X167" s="280">
        <v>346</v>
      </c>
      <c r="Y167" s="280" t="s">
        <v>1073</v>
      </c>
      <c r="Z167" s="280" t="s">
        <v>989</v>
      </c>
      <c r="AA167" s="280" t="s">
        <v>232</v>
      </c>
      <c r="AB167" s="280" t="s">
        <v>819</v>
      </c>
      <c r="AC167" s="280" t="s">
        <v>1074</v>
      </c>
      <c r="AD167" s="282">
        <v>5.8159722222222217E-2</v>
      </c>
      <c r="AE167" s="280">
        <v>10.746</v>
      </c>
      <c r="AF167" s="280">
        <v>168</v>
      </c>
    </row>
    <row r="168" spans="24:32" ht="30">
      <c r="X168" s="280">
        <v>235</v>
      </c>
      <c r="Y168" s="280" t="s">
        <v>865</v>
      </c>
      <c r="Z168" s="280" t="s">
        <v>786</v>
      </c>
      <c r="AA168" s="280" t="s">
        <v>232</v>
      </c>
      <c r="AB168" s="280" t="s">
        <v>782</v>
      </c>
      <c r="AC168" s="280" t="s">
        <v>783</v>
      </c>
      <c r="AD168" s="282">
        <v>5.8206018518518511E-2</v>
      </c>
      <c r="AE168" s="280">
        <v>10.738</v>
      </c>
      <c r="AF168" s="280">
        <v>169</v>
      </c>
    </row>
    <row r="169" spans="24:32">
      <c r="X169" s="280">
        <v>268</v>
      </c>
      <c r="Y169" s="280" t="s">
        <v>1075</v>
      </c>
      <c r="Z169" s="280" t="s">
        <v>1058</v>
      </c>
      <c r="AA169" s="280" t="s">
        <v>232</v>
      </c>
      <c r="AB169" s="280" t="s">
        <v>864</v>
      </c>
      <c r="AC169" s="280">
        <v>0</v>
      </c>
      <c r="AD169" s="282">
        <v>5.8252314814814819E-2</v>
      </c>
      <c r="AE169" s="280">
        <v>10.728999999999999</v>
      </c>
      <c r="AF169" s="280">
        <v>170</v>
      </c>
    </row>
    <row r="170" spans="24:32" ht="45">
      <c r="X170" s="280">
        <v>16</v>
      </c>
      <c r="Y170" s="280" t="s">
        <v>1076</v>
      </c>
      <c r="Z170" s="280" t="s">
        <v>1077</v>
      </c>
      <c r="AA170" s="280" t="s">
        <v>232</v>
      </c>
      <c r="AB170" s="280" t="s">
        <v>1078</v>
      </c>
      <c r="AC170" s="280" t="s">
        <v>1079</v>
      </c>
      <c r="AD170" s="282">
        <v>5.8275462962962966E-2</v>
      </c>
      <c r="AE170" s="280">
        <v>10.725</v>
      </c>
      <c r="AF170" s="280">
        <v>171</v>
      </c>
    </row>
    <row r="171" spans="24:32" ht="30">
      <c r="X171" s="280">
        <v>303</v>
      </c>
      <c r="Y171" s="280" t="s">
        <v>1080</v>
      </c>
      <c r="Z171" s="280" t="s">
        <v>969</v>
      </c>
      <c r="AA171" s="280" t="s">
        <v>232</v>
      </c>
      <c r="AB171" s="280" t="s">
        <v>782</v>
      </c>
      <c r="AC171" s="280" t="s">
        <v>790</v>
      </c>
      <c r="AD171" s="282">
        <v>5.8321759259259261E-2</v>
      </c>
      <c r="AE171" s="280">
        <v>10.715999999999999</v>
      </c>
      <c r="AF171" s="280">
        <v>172</v>
      </c>
    </row>
    <row r="172" spans="24:32">
      <c r="X172" s="280">
        <v>416</v>
      </c>
      <c r="Y172" s="280" t="s">
        <v>1081</v>
      </c>
      <c r="Z172" s="280" t="s">
        <v>813</v>
      </c>
      <c r="AA172" s="280" t="s">
        <v>232</v>
      </c>
      <c r="AB172" s="280" t="s">
        <v>769</v>
      </c>
      <c r="AC172" s="280">
        <v>0</v>
      </c>
      <c r="AD172" s="282">
        <v>5.8379629629629635E-2</v>
      </c>
      <c r="AE172" s="280">
        <v>10.706</v>
      </c>
      <c r="AF172" s="280">
        <v>173</v>
      </c>
    </row>
    <row r="173" spans="24:32" ht="30">
      <c r="X173" s="280">
        <v>339</v>
      </c>
      <c r="Y173" s="280" t="s">
        <v>1064</v>
      </c>
      <c r="Z173" s="280" t="s">
        <v>1082</v>
      </c>
      <c r="AA173" s="280" t="s">
        <v>232</v>
      </c>
      <c r="AB173" s="280" t="s">
        <v>769</v>
      </c>
      <c r="AC173" s="280">
        <v>0</v>
      </c>
      <c r="AD173" s="282">
        <v>5.8402777777777776E-2</v>
      </c>
      <c r="AE173" s="280">
        <v>10.702</v>
      </c>
      <c r="AF173" s="280">
        <v>174</v>
      </c>
    </row>
    <row r="174" spans="24:32">
      <c r="X174" s="280">
        <v>218</v>
      </c>
      <c r="Y174" s="280" t="s">
        <v>1083</v>
      </c>
      <c r="Z174" s="280" t="s">
        <v>1084</v>
      </c>
      <c r="AA174" s="280" t="s">
        <v>232</v>
      </c>
      <c r="AB174" s="280" t="s">
        <v>782</v>
      </c>
      <c r="AC174" s="280">
        <v>0</v>
      </c>
      <c r="AD174" s="282">
        <v>5.8460648148148144E-2</v>
      </c>
      <c r="AE174" s="280">
        <v>10.691000000000001</v>
      </c>
      <c r="AF174" s="280">
        <v>175</v>
      </c>
    </row>
    <row r="175" spans="24:32">
      <c r="X175" s="280">
        <v>179</v>
      </c>
      <c r="Y175" s="280" t="s">
        <v>1085</v>
      </c>
      <c r="Z175" s="280" t="s">
        <v>1015</v>
      </c>
      <c r="AA175" s="280" t="s">
        <v>232</v>
      </c>
      <c r="AB175" s="280" t="s">
        <v>769</v>
      </c>
      <c r="AC175" s="280">
        <v>0</v>
      </c>
      <c r="AD175" s="282">
        <v>5.8483796296296298E-2</v>
      </c>
      <c r="AE175" s="280">
        <v>10.686999999999999</v>
      </c>
      <c r="AF175" s="280">
        <v>176</v>
      </c>
    </row>
    <row r="176" spans="24:32">
      <c r="X176" s="280">
        <v>467</v>
      </c>
      <c r="Y176" s="280" t="s">
        <v>1086</v>
      </c>
      <c r="Z176" s="280" t="s">
        <v>1001</v>
      </c>
      <c r="AA176" s="280" t="s">
        <v>232</v>
      </c>
      <c r="AB176" s="280" t="s">
        <v>769</v>
      </c>
      <c r="AC176" s="280">
        <v>0</v>
      </c>
      <c r="AD176" s="282">
        <v>5.8530092592592592E-2</v>
      </c>
      <c r="AE176" s="280">
        <v>10.678000000000001</v>
      </c>
      <c r="AF176" s="280">
        <v>177</v>
      </c>
    </row>
    <row r="177" spans="24:32">
      <c r="X177" s="280">
        <v>347</v>
      </c>
      <c r="Y177" s="280" t="s">
        <v>1087</v>
      </c>
      <c r="Z177" s="280" t="s">
        <v>1088</v>
      </c>
      <c r="AA177" s="280" t="s">
        <v>232</v>
      </c>
      <c r="AB177" s="280" t="s">
        <v>769</v>
      </c>
      <c r="AC177" s="280">
        <v>0</v>
      </c>
      <c r="AD177" s="282">
        <v>5.8553240740740746E-2</v>
      </c>
      <c r="AE177" s="280">
        <v>10.673999999999999</v>
      </c>
      <c r="AF177" s="280">
        <v>178</v>
      </c>
    </row>
    <row r="178" spans="24:32" ht="30">
      <c r="X178" s="280">
        <v>301</v>
      </c>
      <c r="Y178" s="280" t="s">
        <v>1089</v>
      </c>
      <c r="Z178" s="280" t="s">
        <v>1090</v>
      </c>
      <c r="AA178" s="280" t="s">
        <v>232</v>
      </c>
      <c r="AB178" s="280" t="s">
        <v>831</v>
      </c>
      <c r="AC178" s="280" t="s">
        <v>790</v>
      </c>
      <c r="AD178" s="282">
        <v>5.8576388888888886E-2</v>
      </c>
      <c r="AE178" s="280">
        <v>10.67</v>
      </c>
      <c r="AF178" s="280">
        <v>179</v>
      </c>
    </row>
    <row r="179" spans="24:32" ht="30">
      <c r="X179" s="280">
        <v>281</v>
      </c>
      <c r="Y179" s="280" t="s">
        <v>1091</v>
      </c>
      <c r="Z179" s="280" t="s">
        <v>1092</v>
      </c>
      <c r="AA179" s="280" t="s">
        <v>232</v>
      </c>
      <c r="AB179" s="280" t="s">
        <v>819</v>
      </c>
      <c r="AC179" s="280" t="s">
        <v>857</v>
      </c>
      <c r="AD179" s="282">
        <v>5.8750000000000004E-2</v>
      </c>
      <c r="AE179" s="280">
        <v>10.638</v>
      </c>
      <c r="AF179" s="280">
        <v>180</v>
      </c>
    </row>
    <row r="180" spans="24:32">
      <c r="X180" s="280">
        <v>409</v>
      </c>
      <c r="Y180" s="280" t="s">
        <v>1093</v>
      </c>
      <c r="Z180" s="280" t="s">
        <v>957</v>
      </c>
      <c r="AA180" s="280" t="s">
        <v>232</v>
      </c>
      <c r="AB180" s="280" t="s">
        <v>782</v>
      </c>
      <c r="AC180" s="280" t="s">
        <v>967</v>
      </c>
      <c r="AD180" s="282">
        <v>5.8773148148148151E-2</v>
      </c>
      <c r="AE180" s="280">
        <v>10.634</v>
      </c>
      <c r="AF180" s="280">
        <v>181</v>
      </c>
    </row>
    <row r="181" spans="24:32">
      <c r="X181" s="280">
        <v>493</v>
      </c>
      <c r="Y181" s="280" t="s">
        <v>1094</v>
      </c>
      <c r="Z181" s="280" t="s">
        <v>1095</v>
      </c>
      <c r="AA181" s="280" t="s">
        <v>889</v>
      </c>
      <c r="AB181" s="280" t="s">
        <v>873</v>
      </c>
      <c r="AC181" s="280" t="s">
        <v>1096</v>
      </c>
      <c r="AD181" s="282">
        <v>5.8796296296296298E-2</v>
      </c>
      <c r="AE181" s="280">
        <v>10.63</v>
      </c>
      <c r="AF181" s="280">
        <v>182</v>
      </c>
    </row>
    <row r="182" spans="24:32" ht="45">
      <c r="X182" s="280">
        <v>330</v>
      </c>
      <c r="Y182" s="280" t="s">
        <v>1064</v>
      </c>
      <c r="Z182" s="280" t="s">
        <v>969</v>
      </c>
      <c r="AA182" s="280" t="s">
        <v>232</v>
      </c>
      <c r="AB182" s="280" t="s">
        <v>782</v>
      </c>
      <c r="AC182" s="280" t="s">
        <v>1097</v>
      </c>
      <c r="AD182" s="282">
        <v>5.8969907407407408E-2</v>
      </c>
      <c r="AE182" s="280">
        <v>10.599</v>
      </c>
      <c r="AF182" s="280">
        <v>183</v>
      </c>
    </row>
    <row r="183" spans="24:32" ht="30">
      <c r="X183" s="280">
        <v>48</v>
      </c>
      <c r="Y183" s="280" t="s">
        <v>1076</v>
      </c>
      <c r="Z183" s="280" t="s">
        <v>1098</v>
      </c>
      <c r="AA183" s="280" t="s">
        <v>232</v>
      </c>
      <c r="AB183" s="280" t="s">
        <v>769</v>
      </c>
      <c r="AC183" s="280" t="s">
        <v>1039</v>
      </c>
      <c r="AD183" s="282">
        <v>5.9027777777777783E-2</v>
      </c>
      <c r="AE183" s="280">
        <v>10.587999999999999</v>
      </c>
      <c r="AF183" s="280">
        <v>184</v>
      </c>
    </row>
    <row r="184" spans="24:32">
      <c r="X184" s="280">
        <v>138</v>
      </c>
      <c r="Y184" s="280" t="s">
        <v>1099</v>
      </c>
      <c r="Z184" s="280" t="s">
        <v>1100</v>
      </c>
      <c r="AA184" s="280" t="s">
        <v>232</v>
      </c>
      <c r="AB184" s="280" t="s">
        <v>769</v>
      </c>
      <c r="AC184" s="280">
        <v>0</v>
      </c>
      <c r="AD184" s="282">
        <v>5.9074074074074077E-2</v>
      </c>
      <c r="AE184" s="280">
        <v>10.58</v>
      </c>
      <c r="AF184" s="280">
        <v>185</v>
      </c>
    </row>
    <row r="185" spans="24:32" ht="30">
      <c r="X185" s="280">
        <v>479</v>
      </c>
      <c r="Y185" s="280" t="s">
        <v>1016</v>
      </c>
      <c r="Z185" s="280" t="s">
        <v>1101</v>
      </c>
      <c r="AA185" s="280" t="s">
        <v>232</v>
      </c>
      <c r="AB185" s="280" t="s">
        <v>831</v>
      </c>
      <c r="AC185" s="280" t="s">
        <v>854</v>
      </c>
      <c r="AD185" s="282">
        <v>5.9166666666666666E-2</v>
      </c>
      <c r="AE185" s="280">
        <v>10.563000000000001</v>
      </c>
      <c r="AF185" s="280">
        <v>186</v>
      </c>
    </row>
    <row r="186" spans="24:32">
      <c r="X186" s="280">
        <v>297</v>
      </c>
      <c r="Y186" s="280" t="s">
        <v>1102</v>
      </c>
      <c r="Z186" s="280" t="s">
        <v>1029</v>
      </c>
      <c r="AA186" s="280" t="s">
        <v>232</v>
      </c>
      <c r="AB186" s="280" t="s">
        <v>1078</v>
      </c>
      <c r="AC186" s="280">
        <v>0</v>
      </c>
      <c r="AD186" s="282">
        <v>5.9247685185185188E-2</v>
      </c>
      <c r="AE186" s="280">
        <v>10.548999999999999</v>
      </c>
      <c r="AF186" s="280">
        <v>187</v>
      </c>
    </row>
    <row r="187" spans="24:32" ht="30">
      <c r="X187" s="280">
        <v>385</v>
      </c>
      <c r="Y187" s="280" t="s">
        <v>1103</v>
      </c>
      <c r="Z187" s="280" t="s">
        <v>1104</v>
      </c>
      <c r="AA187" s="280" t="s">
        <v>232</v>
      </c>
      <c r="AB187" s="280" t="s">
        <v>769</v>
      </c>
      <c r="AC187" s="280">
        <v>0</v>
      </c>
      <c r="AD187" s="282">
        <v>5.932870370370371E-2</v>
      </c>
      <c r="AE187" s="280">
        <v>10.535</v>
      </c>
      <c r="AF187" s="280">
        <v>188</v>
      </c>
    </row>
    <row r="188" spans="24:32">
      <c r="X188" s="280">
        <v>495</v>
      </c>
      <c r="Y188" s="280" t="s">
        <v>1105</v>
      </c>
      <c r="Z188" s="280" t="s">
        <v>861</v>
      </c>
      <c r="AA188" s="280" t="s">
        <v>232</v>
      </c>
      <c r="AB188" s="280" t="s">
        <v>769</v>
      </c>
      <c r="AC188" s="280">
        <v>0</v>
      </c>
      <c r="AD188" s="282">
        <v>5.9386574074074071E-2</v>
      </c>
      <c r="AE188" s="280">
        <v>10.523999999999999</v>
      </c>
      <c r="AF188" s="280">
        <v>189</v>
      </c>
    </row>
    <row r="189" spans="24:32" ht="30">
      <c r="X189" s="280">
        <v>113</v>
      </c>
      <c r="Y189" s="280" t="s">
        <v>1106</v>
      </c>
      <c r="Z189" s="280" t="s">
        <v>1107</v>
      </c>
      <c r="AA189" s="280" t="s">
        <v>232</v>
      </c>
      <c r="AB189" s="280" t="s">
        <v>782</v>
      </c>
      <c r="AC189" s="280">
        <v>0</v>
      </c>
      <c r="AD189" s="282">
        <v>5.9421296296296298E-2</v>
      </c>
      <c r="AE189" s="280">
        <v>10.518000000000001</v>
      </c>
      <c r="AF189" s="280">
        <v>190</v>
      </c>
    </row>
    <row r="190" spans="24:32">
      <c r="X190" s="280">
        <v>371</v>
      </c>
      <c r="Y190" s="280" t="s">
        <v>1108</v>
      </c>
      <c r="Z190" s="280" t="s">
        <v>1109</v>
      </c>
      <c r="AA190" s="280" t="s">
        <v>232</v>
      </c>
      <c r="AB190" s="280" t="s">
        <v>831</v>
      </c>
      <c r="AC190" s="280">
        <v>0</v>
      </c>
      <c r="AD190" s="282">
        <v>5.9456018518518526E-2</v>
      </c>
      <c r="AE190" s="280">
        <v>10.512</v>
      </c>
      <c r="AF190" s="280">
        <v>191</v>
      </c>
    </row>
    <row r="191" spans="24:32">
      <c r="X191" s="280">
        <v>202</v>
      </c>
      <c r="Y191" s="280" t="s">
        <v>1110</v>
      </c>
      <c r="Z191" s="280" t="s">
        <v>957</v>
      </c>
      <c r="AA191" s="280" t="s">
        <v>232</v>
      </c>
      <c r="AB191" s="280" t="s">
        <v>769</v>
      </c>
      <c r="AC191" s="280">
        <v>0</v>
      </c>
      <c r="AD191" s="282">
        <v>5.9548611111111115E-2</v>
      </c>
      <c r="AE191" s="280">
        <v>10.496</v>
      </c>
      <c r="AF191" s="280">
        <v>192</v>
      </c>
    </row>
    <row r="192" spans="24:32">
      <c r="X192" s="280">
        <v>480</v>
      </c>
      <c r="Y192" s="280" t="s">
        <v>1111</v>
      </c>
      <c r="Z192" s="280" t="s">
        <v>1112</v>
      </c>
      <c r="AA192" s="280" t="s">
        <v>232</v>
      </c>
      <c r="AB192" s="280" t="s">
        <v>831</v>
      </c>
      <c r="AC192" s="280" t="s">
        <v>939</v>
      </c>
      <c r="AD192" s="282">
        <v>5.9745370370370372E-2</v>
      </c>
      <c r="AE192" s="280">
        <v>10.461</v>
      </c>
      <c r="AF192" s="280">
        <v>193</v>
      </c>
    </row>
    <row r="193" spans="24:32" ht="30">
      <c r="X193" s="280">
        <v>231</v>
      </c>
      <c r="Y193" s="280" t="s">
        <v>1113</v>
      </c>
      <c r="Z193" s="280" t="s">
        <v>1114</v>
      </c>
      <c r="AA193" s="280" t="s">
        <v>232</v>
      </c>
      <c r="AB193" s="280" t="s">
        <v>769</v>
      </c>
      <c r="AC193" s="280" t="s">
        <v>1115</v>
      </c>
      <c r="AD193" s="282">
        <v>5.9756944444444439E-2</v>
      </c>
      <c r="AE193" s="280">
        <v>10.459</v>
      </c>
      <c r="AF193" s="280">
        <v>194</v>
      </c>
    </row>
    <row r="194" spans="24:32">
      <c r="X194" s="280">
        <v>474</v>
      </c>
      <c r="Y194" s="280" t="s">
        <v>1116</v>
      </c>
      <c r="Z194" s="280" t="s">
        <v>1117</v>
      </c>
      <c r="AA194" s="280" t="s">
        <v>889</v>
      </c>
      <c r="AB194" s="280" t="s">
        <v>769</v>
      </c>
      <c r="AC194" s="280" t="s">
        <v>878</v>
      </c>
      <c r="AD194" s="282">
        <v>5.9780092592592593E-2</v>
      </c>
      <c r="AE194" s="280">
        <v>10.455</v>
      </c>
      <c r="AF194" s="280">
        <v>195</v>
      </c>
    </row>
    <row r="195" spans="24:32" ht="30">
      <c r="X195" s="280">
        <v>238</v>
      </c>
      <c r="Y195" s="280" t="s">
        <v>1118</v>
      </c>
      <c r="Z195" s="280" t="s">
        <v>1119</v>
      </c>
      <c r="AA195" s="280" t="s">
        <v>889</v>
      </c>
      <c r="AB195" s="280" t="s">
        <v>769</v>
      </c>
      <c r="AC195" s="280">
        <v>0</v>
      </c>
      <c r="AD195" s="282">
        <v>5.9861111111111108E-2</v>
      </c>
      <c r="AE195" s="280">
        <v>10.441000000000001</v>
      </c>
      <c r="AF195" s="280">
        <v>196</v>
      </c>
    </row>
    <row r="196" spans="24:32" ht="30">
      <c r="X196" s="280">
        <v>462</v>
      </c>
      <c r="Y196" s="280" t="s">
        <v>960</v>
      </c>
      <c r="Z196" s="280" t="s">
        <v>916</v>
      </c>
      <c r="AA196" s="280" t="s">
        <v>232</v>
      </c>
      <c r="AB196" s="280" t="s">
        <v>769</v>
      </c>
      <c r="AC196" s="280">
        <v>0</v>
      </c>
      <c r="AD196" s="282">
        <v>5.9918981481481483E-2</v>
      </c>
      <c r="AE196" s="280">
        <v>10.430999999999999</v>
      </c>
      <c r="AF196" s="280">
        <v>197</v>
      </c>
    </row>
    <row r="197" spans="24:32" ht="30">
      <c r="X197" s="280">
        <v>15</v>
      </c>
      <c r="Y197" s="280" t="s">
        <v>1120</v>
      </c>
      <c r="Z197" s="280" t="s">
        <v>1121</v>
      </c>
      <c r="AA197" s="280" t="s">
        <v>232</v>
      </c>
      <c r="AB197" s="280" t="s">
        <v>782</v>
      </c>
      <c r="AC197" s="280">
        <v>0</v>
      </c>
      <c r="AD197" s="282">
        <v>5.9930555555555563E-2</v>
      </c>
      <c r="AE197" s="280">
        <v>10.429</v>
      </c>
      <c r="AF197" s="280">
        <v>198</v>
      </c>
    </row>
    <row r="198" spans="24:32">
      <c r="X198" s="280">
        <v>118</v>
      </c>
      <c r="Y198" s="280" t="s">
        <v>773</v>
      </c>
      <c r="Z198" s="280" t="s">
        <v>777</v>
      </c>
      <c r="AA198" s="280" t="s">
        <v>232</v>
      </c>
      <c r="AB198" s="280" t="s">
        <v>782</v>
      </c>
      <c r="AC198" s="280" t="s">
        <v>1122</v>
      </c>
      <c r="AD198" s="282">
        <v>6.0185185185185182E-2</v>
      </c>
      <c r="AE198" s="280">
        <v>10.385</v>
      </c>
      <c r="AF198" s="280">
        <v>199</v>
      </c>
    </row>
    <row r="199" spans="24:32">
      <c r="X199" s="280">
        <v>214</v>
      </c>
      <c r="Y199" s="280" t="s">
        <v>1123</v>
      </c>
      <c r="Z199" s="280" t="s">
        <v>1033</v>
      </c>
      <c r="AA199" s="280" t="s">
        <v>232</v>
      </c>
      <c r="AB199" s="280" t="s">
        <v>819</v>
      </c>
      <c r="AC199" s="280" t="s">
        <v>967</v>
      </c>
      <c r="AD199" s="282">
        <v>6.0347222222222219E-2</v>
      </c>
      <c r="AE199" s="280">
        <v>10.356999999999999</v>
      </c>
      <c r="AF199" s="280">
        <v>200</v>
      </c>
    </row>
    <row r="200" spans="24:32">
      <c r="X200" s="280">
        <v>299</v>
      </c>
      <c r="Y200" s="280" t="s">
        <v>1124</v>
      </c>
      <c r="Z200" s="280" t="s">
        <v>912</v>
      </c>
      <c r="AA200" s="280" t="s">
        <v>232</v>
      </c>
      <c r="AB200" s="280" t="s">
        <v>819</v>
      </c>
      <c r="AC200" s="280" t="s">
        <v>1125</v>
      </c>
      <c r="AD200" s="282">
        <v>6.0428240740740741E-2</v>
      </c>
      <c r="AE200" s="280">
        <v>10.343</v>
      </c>
      <c r="AF200" s="280">
        <v>201</v>
      </c>
    </row>
    <row r="201" spans="24:32">
      <c r="X201" s="280">
        <v>39</v>
      </c>
      <c r="Y201" s="280" t="s">
        <v>1126</v>
      </c>
      <c r="Z201" s="280" t="s">
        <v>1127</v>
      </c>
      <c r="AA201" s="280" t="s">
        <v>889</v>
      </c>
      <c r="AB201" s="280" t="s">
        <v>782</v>
      </c>
      <c r="AC201" s="280" t="s">
        <v>943</v>
      </c>
      <c r="AD201" s="282">
        <v>6.0497685185185189E-2</v>
      </c>
      <c r="AE201" s="280">
        <v>10.331</v>
      </c>
      <c r="AF201" s="280">
        <v>202</v>
      </c>
    </row>
    <row r="202" spans="24:32" ht="30">
      <c r="X202" s="280">
        <v>112</v>
      </c>
      <c r="Y202" s="280" t="s">
        <v>1128</v>
      </c>
      <c r="Z202" s="280" t="s">
        <v>1129</v>
      </c>
      <c r="AA202" s="280" t="s">
        <v>889</v>
      </c>
      <c r="AB202" s="280" t="s">
        <v>782</v>
      </c>
      <c r="AC202" s="280">
        <v>0</v>
      </c>
      <c r="AD202" s="282">
        <v>6.0590277777777778E-2</v>
      </c>
      <c r="AE202" s="280">
        <v>10.315</v>
      </c>
      <c r="AF202" s="280">
        <v>203</v>
      </c>
    </row>
    <row r="203" spans="24:32">
      <c r="X203" s="280">
        <v>234</v>
      </c>
      <c r="Y203" s="280" t="s">
        <v>1130</v>
      </c>
      <c r="Z203" s="280" t="s">
        <v>957</v>
      </c>
      <c r="AA203" s="280" t="s">
        <v>232</v>
      </c>
      <c r="AB203" s="280" t="s">
        <v>782</v>
      </c>
      <c r="AC203" s="280">
        <v>0</v>
      </c>
      <c r="AD203" s="282">
        <v>6.06712962962963E-2</v>
      </c>
      <c r="AE203" s="280">
        <v>10.301</v>
      </c>
      <c r="AF203" s="280">
        <v>204</v>
      </c>
    </row>
    <row r="204" spans="24:32">
      <c r="X204" s="280">
        <v>90</v>
      </c>
      <c r="Y204" s="280" t="s">
        <v>1131</v>
      </c>
      <c r="Z204" s="280" t="s">
        <v>877</v>
      </c>
      <c r="AA204" s="280" t="s">
        <v>232</v>
      </c>
      <c r="AB204" s="280" t="s">
        <v>769</v>
      </c>
      <c r="AC204" s="280">
        <v>0</v>
      </c>
      <c r="AD204" s="282">
        <v>6.069444444444444E-2</v>
      </c>
      <c r="AE204" s="280">
        <v>10.297000000000001</v>
      </c>
      <c r="AF204" s="280">
        <v>205</v>
      </c>
    </row>
    <row r="205" spans="24:32">
      <c r="X205" s="280">
        <v>123</v>
      </c>
      <c r="Y205" s="280" t="s">
        <v>1132</v>
      </c>
      <c r="Z205" s="280" t="s">
        <v>983</v>
      </c>
      <c r="AA205" s="280" t="s">
        <v>232</v>
      </c>
      <c r="AB205" s="280" t="s">
        <v>782</v>
      </c>
      <c r="AC205" s="280">
        <v>0</v>
      </c>
      <c r="AD205" s="282">
        <v>6.0706018518518513E-2</v>
      </c>
      <c r="AE205" s="280">
        <v>10.295999999999999</v>
      </c>
      <c r="AF205" s="280">
        <v>206</v>
      </c>
    </row>
    <row r="206" spans="24:32" ht="30">
      <c r="X206" s="280">
        <v>30</v>
      </c>
      <c r="Y206" s="280" t="s">
        <v>1133</v>
      </c>
      <c r="Z206" s="280" t="s">
        <v>1134</v>
      </c>
      <c r="AA206" s="280" t="s">
        <v>232</v>
      </c>
      <c r="AB206" s="280" t="s">
        <v>831</v>
      </c>
      <c r="AC206" s="280" t="s">
        <v>783</v>
      </c>
      <c r="AD206" s="282">
        <v>6.0717592592592594E-2</v>
      </c>
      <c r="AE206" s="280">
        <v>10.294</v>
      </c>
      <c r="AF206" s="280">
        <v>207</v>
      </c>
    </row>
    <row r="207" spans="24:32" ht="45">
      <c r="X207" s="280">
        <v>137</v>
      </c>
      <c r="Y207" s="280" t="s">
        <v>1135</v>
      </c>
      <c r="Z207" s="280" t="s">
        <v>1136</v>
      </c>
      <c r="AA207" s="280" t="s">
        <v>889</v>
      </c>
      <c r="AB207" s="280" t="s">
        <v>819</v>
      </c>
      <c r="AC207" s="280" t="s">
        <v>962</v>
      </c>
      <c r="AD207" s="282">
        <v>6.0740740740740741E-2</v>
      </c>
      <c r="AE207" s="280">
        <v>10.29</v>
      </c>
      <c r="AF207" s="280">
        <v>208</v>
      </c>
    </row>
    <row r="208" spans="24:32">
      <c r="X208" s="280">
        <v>174</v>
      </c>
      <c r="Y208" s="280" t="s">
        <v>1137</v>
      </c>
      <c r="Z208" s="280" t="s">
        <v>977</v>
      </c>
      <c r="AA208" s="280" t="s">
        <v>232</v>
      </c>
      <c r="AB208" s="280" t="s">
        <v>782</v>
      </c>
      <c r="AC208" s="280">
        <v>0</v>
      </c>
      <c r="AD208" s="282">
        <v>6.0763888888888888E-2</v>
      </c>
      <c r="AE208" s="280">
        <v>10.286</v>
      </c>
      <c r="AF208" s="280">
        <v>209</v>
      </c>
    </row>
    <row r="209" spans="24:32">
      <c r="X209" s="280">
        <v>12</v>
      </c>
      <c r="Y209" s="280" t="s">
        <v>1138</v>
      </c>
      <c r="Z209" s="280" t="s">
        <v>977</v>
      </c>
      <c r="AA209" s="280" t="s">
        <v>232</v>
      </c>
      <c r="AB209" s="280" t="s">
        <v>782</v>
      </c>
      <c r="AC209" s="280">
        <v>0</v>
      </c>
      <c r="AD209" s="282">
        <v>6.0775462962962962E-2</v>
      </c>
      <c r="AE209" s="280">
        <v>10.284000000000001</v>
      </c>
      <c r="AF209" s="280">
        <v>210</v>
      </c>
    </row>
    <row r="210" spans="24:32" ht="30">
      <c r="X210" s="280">
        <v>84</v>
      </c>
      <c r="Y210" s="280" t="s">
        <v>1139</v>
      </c>
      <c r="Z210" s="280" t="s">
        <v>969</v>
      </c>
      <c r="AA210" s="280" t="s">
        <v>232</v>
      </c>
      <c r="AB210" s="280" t="s">
        <v>782</v>
      </c>
      <c r="AC210" s="280" t="s">
        <v>783</v>
      </c>
      <c r="AD210" s="282">
        <v>6.0798611111111116E-2</v>
      </c>
      <c r="AE210" s="280">
        <v>10.28</v>
      </c>
      <c r="AF210" s="280">
        <v>211</v>
      </c>
    </row>
    <row r="211" spans="24:32" ht="30">
      <c r="X211" s="280">
        <v>201</v>
      </c>
      <c r="Y211" s="280" t="s">
        <v>1140</v>
      </c>
      <c r="Z211" s="280" t="s">
        <v>1141</v>
      </c>
      <c r="AA211" s="280" t="s">
        <v>232</v>
      </c>
      <c r="AB211" s="280" t="s">
        <v>782</v>
      </c>
      <c r="AC211" s="280">
        <v>0</v>
      </c>
      <c r="AD211" s="282">
        <v>6.083333333333333E-2</v>
      </c>
      <c r="AE211" s="280">
        <v>10.273999999999999</v>
      </c>
      <c r="AF211" s="280">
        <v>212</v>
      </c>
    </row>
    <row r="212" spans="24:32" ht="45">
      <c r="X212" s="280">
        <v>55</v>
      </c>
      <c r="Y212" s="280" t="s">
        <v>1142</v>
      </c>
      <c r="Z212" s="280" t="s">
        <v>1143</v>
      </c>
      <c r="AA212" s="280" t="s">
        <v>232</v>
      </c>
      <c r="AB212" s="280" t="s">
        <v>1078</v>
      </c>
      <c r="AC212" s="280" t="s">
        <v>1144</v>
      </c>
      <c r="AD212" s="282">
        <v>6.0856481481481484E-2</v>
      </c>
      <c r="AE212" s="280">
        <v>10.27</v>
      </c>
      <c r="AF212" s="280">
        <v>213</v>
      </c>
    </row>
    <row r="213" spans="24:32">
      <c r="X213" s="280">
        <v>165</v>
      </c>
      <c r="Y213" s="280" t="s">
        <v>1123</v>
      </c>
      <c r="Z213" s="280" t="s">
        <v>1145</v>
      </c>
      <c r="AA213" s="280" t="s">
        <v>889</v>
      </c>
      <c r="AB213" s="280" t="s">
        <v>864</v>
      </c>
      <c r="AC213" s="280" t="s">
        <v>967</v>
      </c>
      <c r="AD213" s="282">
        <v>6.1053240740740734E-2</v>
      </c>
      <c r="AE213" s="280">
        <v>10.237</v>
      </c>
      <c r="AF213" s="280">
        <v>214</v>
      </c>
    </row>
    <row r="214" spans="24:32" ht="30">
      <c r="X214" s="280">
        <v>369</v>
      </c>
      <c r="Y214" s="280" t="s">
        <v>1146</v>
      </c>
      <c r="Z214" s="280" t="s">
        <v>1147</v>
      </c>
      <c r="AA214" s="280" t="s">
        <v>889</v>
      </c>
      <c r="AB214" s="280" t="s">
        <v>769</v>
      </c>
      <c r="AC214" s="280" t="s">
        <v>783</v>
      </c>
      <c r="AD214" s="282">
        <v>6.1134259259259256E-2</v>
      </c>
      <c r="AE214" s="280">
        <v>10.223000000000001</v>
      </c>
      <c r="AF214" s="280">
        <v>215</v>
      </c>
    </row>
    <row r="215" spans="24:32">
      <c r="X215" s="280">
        <v>70</v>
      </c>
      <c r="Y215" s="280" t="s">
        <v>1148</v>
      </c>
      <c r="Z215" s="280" t="s">
        <v>1149</v>
      </c>
      <c r="AA215" s="280" t="s">
        <v>232</v>
      </c>
      <c r="AB215" s="280" t="s">
        <v>782</v>
      </c>
      <c r="AC215" s="280" t="s">
        <v>870</v>
      </c>
      <c r="AD215" s="282">
        <v>6.1168981481481477E-2</v>
      </c>
      <c r="AE215" s="280">
        <v>10.218</v>
      </c>
      <c r="AF215" s="280">
        <v>216</v>
      </c>
    </row>
    <row r="216" spans="24:32">
      <c r="X216" s="280">
        <v>102</v>
      </c>
      <c r="Y216" s="280" t="s">
        <v>1150</v>
      </c>
      <c r="Z216" s="280" t="s">
        <v>925</v>
      </c>
      <c r="AA216" s="280" t="s">
        <v>232</v>
      </c>
      <c r="AB216" s="280" t="s">
        <v>769</v>
      </c>
      <c r="AC216" s="280" t="s">
        <v>1151</v>
      </c>
      <c r="AD216" s="282">
        <v>6.1203703703703705E-2</v>
      </c>
      <c r="AE216" s="280">
        <v>10.212</v>
      </c>
      <c r="AF216" s="280">
        <v>217</v>
      </c>
    </row>
    <row r="217" spans="24:32">
      <c r="X217" s="280">
        <v>469</v>
      </c>
      <c r="Y217" s="280" t="s">
        <v>1152</v>
      </c>
      <c r="Z217" s="280" t="s">
        <v>927</v>
      </c>
      <c r="AA217" s="280" t="s">
        <v>232</v>
      </c>
      <c r="AB217" s="280" t="s">
        <v>782</v>
      </c>
      <c r="AC217" s="280">
        <v>0</v>
      </c>
      <c r="AD217" s="282">
        <v>6.128472222222222E-2</v>
      </c>
      <c r="AE217" s="280">
        <v>10.198</v>
      </c>
      <c r="AF217" s="280">
        <v>218</v>
      </c>
    </row>
    <row r="218" spans="24:32" ht="30">
      <c r="X218" s="280">
        <v>317</v>
      </c>
      <c r="Y218" s="280" t="s">
        <v>1153</v>
      </c>
      <c r="Z218" s="280" t="s">
        <v>1154</v>
      </c>
      <c r="AA218" s="280" t="s">
        <v>232</v>
      </c>
      <c r="AB218" s="280" t="s">
        <v>831</v>
      </c>
      <c r="AC218" s="280" t="s">
        <v>808</v>
      </c>
      <c r="AD218" s="282">
        <v>6.1319444444444447E-2</v>
      </c>
      <c r="AE218" s="280">
        <v>10.193</v>
      </c>
      <c r="AF218" s="280">
        <v>219</v>
      </c>
    </row>
    <row r="219" spans="24:32">
      <c r="X219" s="280">
        <v>172</v>
      </c>
      <c r="Y219" s="280" t="s">
        <v>1126</v>
      </c>
      <c r="Z219" s="280" t="s">
        <v>1021</v>
      </c>
      <c r="AA219" s="280" t="s">
        <v>232</v>
      </c>
      <c r="AB219" s="280" t="s">
        <v>769</v>
      </c>
      <c r="AC219" s="280">
        <v>0</v>
      </c>
      <c r="AD219" s="282">
        <v>6.1365740740740742E-2</v>
      </c>
      <c r="AE219" s="280">
        <v>10.185</v>
      </c>
      <c r="AF219" s="280">
        <v>220</v>
      </c>
    </row>
    <row r="220" spans="24:32">
      <c r="X220" s="280">
        <v>258</v>
      </c>
      <c r="Y220" s="280" t="s">
        <v>1155</v>
      </c>
      <c r="Z220" s="280" t="s">
        <v>927</v>
      </c>
      <c r="AA220" s="280" t="s">
        <v>232</v>
      </c>
      <c r="AB220" s="280" t="s">
        <v>831</v>
      </c>
      <c r="AC220" s="280">
        <v>0</v>
      </c>
      <c r="AD220" s="282">
        <v>6.1458333333333337E-2</v>
      </c>
      <c r="AE220" s="280">
        <v>10.169</v>
      </c>
      <c r="AF220" s="280">
        <v>221</v>
      </c>
    </row>
    <row r="221" spans="24:32">
      <c r="X221" s="280">
        <v>114</v>
      </c>
      <c r="Y221" s="280" t="s">
        <v>1156</v>
      </c>
      <c r="Z221" s="280" t="s">
        <v>901</v>
      </c>
      <c r="AA221" s="280" t="s">
        <v>232</v>
      </c>
      <c r="AB221" s="280" t="s">
        <v>831</v>
      </c>
      <c r="AC221" s="280" t="s">
        <v>1157</v>
      </c>
      <c r="AD221" s="282">
        <v>6.1481481481481477E-2</v>
      </c>
      <c r="AE221" s="280">
        <v>10.166</v>
      </c>
      <c r="AF221" s="280">
        <v>222</v>
      </c>
    </row>
    <row r="222" spans="24:32" ht="45">
      <c r="X222" s="280">
        <v>457</v>
      </c>
      <c r="Y222" s="280" t="s">
        <v>1158</v>
      </c>
      <c r="Z222" s="280" t="s">
        <v>1159</v>
      </c>
      <c r="AA222" s="280" t="s">
        <v>889</v>
      </c>
      <c r="AB222" s="280" t="s">
        <v>873</v>
      </c>
      <c r="AC222" s="280" t="s">
        <v>910</v>
      </c>
      <c r="AD222" s="282">
        <v>6.1504629629629631E-2</v>
      </c>
      <c r="AE222" s="280">
        <v>10.162000000000001</v>
      </c>
      <c r="AF222" s="280">
        <v>223</v>
      </c>
    </row>
    <row r="223" spans="24:32" ht="30">
      <c r="X223" s="280">
        <v>322</v>
      </c>
      <c r="Y223" s="280" t="s">
        <v>1160</v>
      </c>
      <c r="Z223" s="280" t="s">
        <v>1161</v>
      </c>
      <c r="AA223" s="280" t="s">
        <v>232</v>
      </c>
      <c r="AB223" s="280" t="s">
        <v>769</v>
      </c>
      <c r="AC223" s="280">
        <v>0</v>
      </c>
      <c r="AD223" s="282">
        <v>6.1527777777777772E-2</v>
      </c>
      <c r="AE223" s="280">
        <v>10.157999999999999</v>
      </c>
      <c r="AF223" s="280">
        <v>224</v>
      </c>
    </row>
    <row r="224" spans="24:32">
      <c r="X224" s="280">
        <v>334</v>
      </c>
      <c r="Y224" s="280" t="s">
        <v>1162</v>
      </c>
      <c r="Z224" s="280" t="s">
        <v>877</v>
      </c>
      <c r="AA224" s="280" t="s">
        <v>232</v>
      </c>
      <c r="AB224" s="280" t="s">
        <v>831</v>
      </c>
      <c r="AC224" s="280">
        <v>0</v>
      </c>
      <c r="AD224" s="282">
        <v>6.159722222222222E-2</v>
      </c>
      <c r="AE224" s="280">
        <v>10.147</v>
      </c>
      <c r="AF224" s="280">
        <v>225</v>
      </c>
    </row>
    <row r="225" spans="24:32" ht="60">
      <c r="X225" s="280">
        <v>60</v>
      </c>
      <c r="Y225" s="280" t="s">
        <v>1163</v>
      </c>
      <c r="Z225" s="280" t="s">
        <v>836</v>
      </c>
      <c r="AA225" s="280" t="s">
        <v>232</v>
      </c>
      <c r="AB225" s="280" t="s">
        <v>831</v>
      </c>
      <c r="AC225" s="280" t="s">
        <v>1164</v>
      </c>
      <c r="AD225" s="282">
        <v>6.1608796296296293E-2</v>
      </c>
      <c r="AE225" s="280">
        <v>10.145</v>
      </c>
      <c r="AF225" s="280">
        <v>226</v>
      </c>
    </row>
    <row r="226" spans="24:32">
      <c r="X226" s="280">
        <v>324</v>
      </c>
      <c r="Y226" s="280" t="s">
        <v>1165</v>
      </c>
      <c r="Z226" s="280" t="s">
        <v>1166</v>
      </c>
      <c r="AA226" s="280" t="s">
        <v>889</v>
      </c>
      <c r="AB226" s="280" t="s">
        <v>769</v>
      </c>
      <c r="AC226" s="280" t="s">
        <v>967</v>
      </c>
      <c r="AD226" s="282">
        <v>6.1666666666666668E-2</v>
      </c>
      <c r="AE226" s="280">
        <v>10.135</v>
      </c>
      <c r="AF226" s="280">
        <v>227</v>
      </c>
    </row>
    <row r="227" spans="24:32" ht="30">
      <c r="X227" s="280">
        <v>67</v>
      </c>
      <c r="Y227" s="280" t="s">
        <v>1167</v>
      </c>
      <c r="Z227" s="280" t="s">
        <v>1121</v>
      </c>
      <c r="AA227" s="280" t="s">
        <v>232</v>
      </c>
      <c r="AB227" s="280" t="s">
        <v>782</v>
      </c>
      <c r="AC227" s="280" t="s">
        <v>930</v>
      </c>
      <c r="AD227" s="282">
        <v>6.1701388888888896E-2</v>
      </c>
      <c r="AE227" s="280">
        <v>10.129</v>
      </c>
      <c r="AF227" s="280">
        <v>228</v>
      </c>
    </row>
    <row r="228" spans="24:32">
      <c r="X228" s="280">
        <v>14</v>
      </c>
      <c r="Y228" s="280" t="s">
        <v>1168</v>
      </c>
      <c r="Z228" s="280" t="s">
        <v>802</v>
      </c>
      <c r="AA228" s="280" t="s">
        <v>232</v>
      </c>
      <c r="AB228" s="280" t="s">
        <v>782</v>
      </c>
      <c r="AC228" s="280">
        <v>0</v>
      </c>
      <c r="AD228" s="282">
        <v>6.1712962962962963E-2</v>
      </c>
      <c r="AE228" s="280">
        <v>10.128</v>
      </c>
      <c r="AF228" s="280">
        <v>229</v>
      </c>
    </row>
    <row r="229" spans="24:32">
      <c r="X229" s="280">
        <v>32</v>
      </c>
      <c r="Y229" s="280" t="s">
        <v>1169</v>
      </c>
      <c r="Z229" s="280" t="s">
        <v>1052</v>
      </c>
      <c r="AA229" s="280" t="s">
        <v>232</v>
      </c>
      <c r="AB229" s="280" t="s">
        <v>782</v>
      </c>
      <c r="AC229" s="280">
        <v>0</v>
      </c>
      <c r="AD229" s="282">
        <v>6.1759259259259257E-2</v>
      </c>
      <c r="AE229" s="280">
        <v>10.119999999999999</v>
      </c>
      <c r="AF229" s="280">
        <v>230</v>
      </c>
    </row>
    <row r="230" spans="24:32">
      <c r="X230" s="280">
        <v>230</v>
      </c>
      <c r="Y230" s="280" t="s">
        <v>1170</v>
      </c>
      <c r="Z230" s="280" t="s">
        <v>884</v>
      </c>
      <c r="AA230" s="280" t="s">
        <v>232</v>
      </c>
      <c r="AB230" s="280" t="s">
        <v>769</v>
      </c>
      <c r="AC230" s="280">
        <v>0</v>
      </c>
      <c r="AD230" s="282">
        <v>6.1782407407407404E-2</v>
      </c>
      <c r="AE230" s="280">
        <v>10.116</v>
      </c>
      <c r="AF230" s="280">
        <v>231</v>
      </c>
    </row>
    <row r="231" spans="24:32" ht="45">
      <c r="X231" s="280">
        <v>473</v>
      </c>
      <c r="Y231" s="280" t="s">
        <v>1171</v>
      </c>
      <c r="Z231" s="280" t="s">
        <v>927</v>
      </c>
      <c r="AA231" s="280" t="s">
        <v>232</v>
      </c>
      <c r="AB231" s="280" t="s">
        <v>782</v>
      </c>
      <c r="AC231" s="280" t="s">
        <v>910</v>
      </c>
      <c r="AD231" s="282">
        <v>6.1828703703703712E-2</v>
      </c>
      <c r="AE231" s="280">
        <v>10.109</v>
      </c>
      <c r="AF231" s="280">
        <v>232</v>
      </c>
    </row>
    <row r="232" spans="24:32" ht="30">
      <c r="X232" s="280">
        <v>332</v>
      </c>
      <c r="Y232" s="280" t="s">
        <v>1172</v>
      </c>
      <c r="Z232" s="280" t="s">
        <v>797</v>
      </c>
      <c r="AA232" s="280" t="s">
        <v>232</v>
      </c>
      <c r="AB232" s="280" t="s">
        <v>769</v>
      </c>
      <c r="AC232" s="280" t="s">
        <v>1173</v>
      </c>
      <c r="AD232" s="282">
        <v>6.206018518518519E-2</v>
      </c>
      <c r="AE232" s="280">
        <v>10.071</v>
      </c>
      <c r="AF232" s="280">
        <v>233</v>
      </c>
    </row>
    <row r="233" spans="24:32" ht="30">
      <c r="X233" s="280">
        <v>59</v>
      </c>
      <c r="Y233" s="280" t="s">
        <v>1174</v>
      </c>
      <c r="Z233" s="280" t="s">
        <v>836</v>
      </c>
      <c r="AA233" s="280" t="s">
        <v>232</v>
      </c>
      <c r="AB233" s="280" t="s">
        <v>782</v>
      </c>
      <c r="AC233" s="280">
        <v>0</v>
      </c>
      <c r="AD233" s="282">
        <v>6.2118055555555551E-2</v>
      </c>
      <c r="AE233" s="280">
        <v>10.061</v>
      </c>
      <c r="AF233" s="280">
        <v>234</v>
      </c>
    </row>
    <row r="234" spans="24:32">
      <c r="X234" s="280">
        <v>352</v>
      </c>
      <c r="Y234" s="280" t="s">
        <v>1175</v>
      </c>
      <c r="Z234" s="280" t="s">
        <v>802</v>
      </c>
      <c r="AA234" s="280" t="s">
        <v>232</v>
      </c>
      <c r="AB234" s="280" t="s">
        <v>831</v>
      </c>
      <c r="AC234" s="280" t="s">
        <v>905</v>
      </c>
      <c r="AD234" s="282">
        <v>6.2141203703703705E-2</v>
      </c>
      <c r="AE234" s="280">
        <v>10.058</v>
      </c>
      <c r="AF234" s="280">
        <v>235</v>
      </c>
    </row>
    <row r="235" spans="24:32">
      <c r="X235" s="280">
        <v>295</v>
      </c>
      <c r="Y235" s="280" t="s">
        <v>1176</v>
      </c>
      <c r="Z235" s="280" t="s">
        <v>1177</v>
      </c>
      <c r="AA235" s="280" t="s">
        <v>232</v>
      </c>
      <c r="AB235" s="280" t="s">
        <v>1078</v>
      </c>
      <c r="AC235" s="280" t="s">
        <v>1178</v>
      </c>
      <c r="AD235" s="282">
        <v>6.2199074074074073E-2</v>
      </c>
      <c r="AE235" s="280">
        <v>10.048</v>
      </c>
      <c r="AF235" s="280">
        <v>236</v>
      </c>
    </row>
    <row r="236" spans="24:32">
      <c r="X236" s="280">
        <v>129</v>
      </c>
      <c r="Y236" s="280" t="s">
        <v>1179</v>
      </c>
      <c r="Z236" s="280" t="s">
        <v>1180</v>
      </c>
      <c r="AA236" s="280" t="s">
        <v>232</v>
      </c>
      <c r="AB236" s="280" t="s">
        <v>769</v>
      </c>
      <c r="AC236" s="280">
        <v>0</v>
      </c>
      <c r="AD236" s="282">
        <v>6.2222222222222227E-2</v>
      </c>
      <c r="AE236" s="280">
        <v>10.045</v>
      </c>
      <c r="AF236" s="280">
        <v>237</v>
      </c>
    </row>
    <row r="237" spans="24:32" ht="30">
      <c r="X237" s="280">
        <v>298</v>
      </c>
      <c r="Y237" s="280" t="s">
        <v>1181</v>
      </c>
      <c r="Z237" s="280" t="s">
        <v>989</v>
      </c>
      <c r="AA237" s="280" t="s">
        <v>232</v>
      </c>
      <c r="AB237" s="280" t="s">
        <v>873</v>
      </c>
      <c r="AC237" s="280" t="s">
        <v>1182</v>
      </c>
      <c r="AD237" s="282">
        <v>6.2245370370370368E-2</v>
      </c>
      <c r="AE237" s="280">
        <v>10.041</v>
      </c>
      <c r="AF237" s="280">
        <v>238</v>
      </c>
    </row>
    <row r="238" spans="24:32">
      <c r="X238" s="280">
        <v>20</v>
      </c>
      <c r="Y238" s="280" t="s">
        <v>1183</v>
      </c>
      <c r="Z238" s="280" t="s">
        <v>897</v>
      </c>
      <c r="AA238" s="280" t="s">
        <v>232</v>
      </c>
      <c r="AB238" s="280" t="s">
        <v>769</v>
      </c>
      <c r="AC238" s="280" t="s">
        <v>1009</v>
      </c>
      <c r="AD238" s="282">
        <v>6.2256944444444441E-2</v>
      </c>
      <c r="AE238" s="280">
        <v>10.039</v>
      </c>
      <c r="AF238" s="280">
        <v>239</v>
      </c>
    </row>
    <row r="239" spans="24:32" ht="30">
      <c r="X239" s="280">
        <v>128</v>
      </c>
      <c r="Y239" s="280" t="s">
        <v>1184</v>
      </c>
      <c r="Z239" s="280" t="s">
        <v>1185</v>
      </c>
      <c r="AA239" s="280" t="s">
        <v>232</v>
      </c>
      <c r="AB239" s="280" t="s">
        <v>782</v>
      </c>
      <c r="AC239" s="280">
        <v>0</v>
      </c>
      <c r="AD239" s="282">
        <v>6.2523148148148147E-2</v>
      </c>
      <c r="AE239" s="280">
        <v>9.9960000000000004</v>
      </c>
      <c r="AF239" s="280">
        <v>240</v>
      </c>
    </row>
    <row r="240" spans="24:32" ht="30">
      <c r="X240" s="280">
        <v>487</v>
      </c>
      <c r="Y240" s="280" t="s">
        <v>1186</v>
      </c>
      <c r="Z240" s="280" t="s">
        <v>947</v>
      </c>
      <c r="AA240" s="280" t="s">
        <v>232</v>
      </c>
      <c r="AB240" s="280" t="s">
        <v>831</v>
      </c>
      <c r="AC240" s="280" t="s">
        <v>1067</v>
      </c>
      <c r="AD240" s="282">
        <v>6.2592592592592589E-2</v>
      </c>
      <c r="AE240" s="280">
        <v>9.9849999999999994</v>
      </c>
      <c r="AF240" s="280">
        <v>241</v>
      </c>
    </row>
    <row r="241" spans="24:32" ht="30">
      <c r="X241" s="280">
        <v>228</v>
      </c>
      <c r="Y241" s="280" t="s">
        <v>1187</v>
      </c>
      <c r="Z241" s="280" t="s">
        <v>969</v>
      </c>
      <c r="AA241" s="280" t="s">
        <v>232</v>
      </c>
      <c r="AB241" s="280" t="s">
        <v>782</v>
      </c>
      <c r="AC241" s="280">
        <v>0</v>
      </c>
      <c r="AD241" s="282">
        <v>6.2650462962962963E-2</v>
      </c>
      <c r="AE241" s="280">
        <v>9.9760000000000009</v>
      </c>
      <c r="AF241" s="280">
        <v>242</v>
      </c>
    </row>
    <row r="242" spans="24:32">
      <c r="X242" s="280">
        <v>134</v>
      </c>
      <c r="Y242" s="280" t="s">
        <v>1026</v>
      </c>
      <c r="Z242" s="280" t="s">
        <v>1030</v>
      </c>
      <c r="AA242" s="280" t="s">
        <v>232</v>
      </c>
      <c r="AB242" s="280" t="s">
        <v>782</v>
      </c>
      <c r="AC242" s="280">
        <v>0</v>
      </c>
      <c r="AD242" s="282">
        <v>6.2766203703703713E-2</v>
      </c>
      <c r="AE242" s="280">
        <v>9.9580000000000002</v>
      </c>
      <c r="AF242" s="280">
        <v>243</v>
      </c>
    </row>
    <row r="243" spans="24:32">
      <c r="X243" s="280">
        <v>87</v>
      </c>
      <c r="Y243" s="280" t="s">
        <v>228</v>
      </c>
      <c r="Z243" s="280" t="s">
        <v>230</v>
      </c>
      <c r="AA243" s="280" t="s">
        <v>232</v>
      </c>
      <c r="AB243" s="280" t="s">
        <v>782</v>
      </c>
      <c r="AC243" s="280">
        <v>0</v>
      </c>
      <c r="AD243" s="282">
        <v>6.2800925925925927E-2</v>
      </c>
      <c r="AE243" s="280">
        <v>9.952</v>
      </c>
      <c r="AF243" s="280">
        <v>244</v>
      </c>
    </row>
    <row r="244" spans="24:32" ht="30">
      <c r="X244" s="280">
        <v>75</v>
      </c>
      <c r="Y244" s="280" t="s">
        <v>1188</v>
      </c>
      <c r="Z244" s="280" t="s">
        <v>969</v>
      </c>
      <c r="AA244" s="280" t="s">
        <v>232</v>
      </c>
      <c r="AB244" s="280" t="s">
        <v>782</v>
      </c>
      <c r="AC244" s="280">
        <v>0</v>
      </c>
      <c r="AD244" s="282">
        <v>6.283564814814814E-2</v>
      </c>
      <c r="AE244" s="280">
        <v>9.9469999999999992</v>
      </c>
      <c r="AF244" s="280">
        <v>245</v>
      </c>
    </row>
    <row r="245" spans="24:32" ht="60">
      <c r="X245" s="280">
        <v>147</v>
      </c>
      <c r="Y245" s="280" t="s">
        <v>1189</v>
      </c>
      <c r="Z245" s="280" t="s">
        <v>969</v>
      </c>
      <c r="AA245" s="280" t="s">
        <v>232</v>
      </c>
      <c r="AB245" s="280" t="s">
        <v>782</v>
      </c>
      <c r="AC245" s="280" t="s">
        <v>1164</v>
      </c>
      <c r="AD245" s="282">
        <v>6.2870370370370368E-2</v>
      </c>
      <c r="AE245" s="280">
        <v>9.9410000000000007</v>
      </c>
      <c r="AF245" s="280">
        <v>246</v>
      </c>
    </row>
    <row r="246" spans="24:32">
      <c r="X246" s="280">
        <v>170</v>
      </c>
      <c r="Y246" s="280" t="s">
        <v>1190</v>
      </c>
      <c r="Z246" s="280" t="s">
        <v>786</v>
      </c>
      <c r="AA246" s="280" t="s">
        <v>232</v>
      </c>
      <c r="AB246" s="280" t="s">
        <v>782</v>
      </c>
      <c r="AC246" s="280">
        <v>0</v>
      </c>
      <c r="AD246" s="282">
        <v>6.2962962962962957E-2</v>
      </c>
      <c r="AE246" s="280">
        <v>9.9260000000000002</v>
      </c>
      <c r="AF246" s="280">
        <v>247</v>
      </c>
    </row>
    <row r="247" spans="24:32" ht="30">
      <c r="X247" s="280">
        <v>183</v>
      </c>
      <c r="Y247" s="280" t="s">
        <v>1191</v>
      </c>
      <c r="Z247" s="280" t="s">
        <v>836</v>
      </c>
      <c r="AA247" s="280" t="s">
        <v>232</v>
      </c>
      <c r="AB247" s="280" t="s">
        <v>831</v>
      </c>
      <c r="AC247" s="280">
        <v>0</v>
      </c>
      <c r="AD247" s="282">
        <v>6.2986111111111118E-2</v>
      </c>
      <c r="AE247" s="280">
        <v>9.923</v>
      </c>
      <c r="AF247" s="280">
        <v>248</v>
      </c>
    </row>
    <row r="248" spans="24:32">
      <c r="X248" s="280">
        <v>105</v>
      </c>
      <c r="Y248" s="280" t="s">
        <v>1192</v>
      </c>
      <c r="Z248" s="280" t="s">
        <v>844</v>
      </c>
      <c r="AA248" s="280" t="s">
        <v>232</v>
      </c>
      <c r="AB248" s="280" t="s">
        <v>769</v>
      </c>
      <c r="AC248" s="280" t="s">
        <v>1157</v>
      </c>
      <c r="AD248" s="282">
        <v>6.3009259259259265E-2</v>
      </c>
      <c r="AE248" s="280">
        <v>9.9190000000000005</v>
      </c>
      <c r="AF248" s="280">
        <v>249</v>
      </c>
    </row>
    <row r="249" spans="24:32" ht="30">
      <c r="X249" s="280">
        <v>127</v>
      </c>
      <c r="Y249" s="280" t="s">
        <v>1193</v>
      </c>
      <c r="Z249" s="280" t="s">
        <v>953</v>
      </c>
      <c r="AA249" s="280" t="s">
        <v>232</v>
      </c>
      <c r="AB249" s="280" t="s">
        <v>782</v>
      </c>
      <c r="AC249" s="280" t="s">
        <v>783</v>
      </c>
      <c r="AD249" s="282">
        <v>6.3055555555555545E-2</v>
      </c>
      <c r="AE249" s="280">
        <v>9.9120000000000008</v>
      </c>
      <c r="AF249" s="280">
        <v>250</v>
      </c>
    </row>
    <row r="250" spans="24:32" ht="30">
      <c r="X250" s="280">
        <v>68</v>
      </c>
      <c r="Y250" s="280" t="s">
        <v>1194</v>
      </c>
      <c r="Z250" s="280" t="s">
        <v>861</v>
      </c>
      <c r="AA250" s="280" t="s">
        <v>232</v>
      </c>
      <c r="AB250" s="280" t="s">
        <v>1078</v>
      </c>
      <c r="AC250" s="280" t="s">
        <v>930</v>
      </c>
      <c r="AD250" s="282">
        <v>6.3125000000000001E-2</v>
      </c>
      <c r="AE250" s="280">
        <v>9.9009999999999998</v>
      </c>
      <c r="AF250" s="280">
        <v>251</v>
      </c>
    </row>
    <row r="251" spans="24:32">
      <c r="X251" s="280">
        <v>403</v>
      </c>
      <c r="Y251" s="280" t="s">
        <v>1195</v>
      </c>
      <c r="Z251" s="280" t="s">
        <v>1013</v>
      </c>
      <c r="AA251" s="280" t="s">
        <v>232</v>
      </c>
      <c r="AB251" s="280" t="s">
        <v>769</v>
      </c>
      <c r="AC251" s="280" t="s">
        <v>878</v>
      </c>
      <c r="AD251" s="282">
        <v>6.3159722222222228E-2</v>
      </c>
      <c r="AE251" s="280">
        <v>9.8960000000000008</v>
      </c>
      <c r="AF251" s="280">
        <v>252</v>
      </c>
    </row>
    <row r="252" spans="24:32">
      <c r="X252" s="280">
        <v>411</v>
      </c>
      <c r="Y252" s="280" t="s">
        <v>1196</v>
      </c>
      <c r="Z252" s="280" t="s">
        <v>818</v>
      </c>
      <c r="AA252" s="280" t="s">
        <v>232</v>
      </c>
      <c r="AB252" s="280" t="s">
        <v>769</v>
      </c>
      <c r="AC252" s="280">
        <v>0</v>
      </c>
      <c r="AD252" s="282">
        <v>6.3263888888888883E-2</v>
      </c>
      <c r="AE252" s="280">
        <v>9.8789999999999996</v>
      </c>
      <c r="AF252" s="280">
        <v>253</v>
      </c>
    </row>
    <row r="253" spans="24:32" ht="30">
      <c r="X253" s="280">
        <v>251</v>
      </c>
      <c r="Y253" s="280" t="s">
        <v>1197</v>
      </c>
      <c r="Z253" s="280" t="s">
        <v>1198</v>
      </c>
      <c r="AA253" s="280" t="s">
        <v>889</v>
      </c>
      <c r="AB253" s="280" t="s">
        <v>782</v>
      </c>
      <c r="AC253" s="280" t="s">
        <v>1199</v>
      </c>
      <c r="AD253" s="282">
        <v>6.3298611111111111E-2</v>
      </c>
      <c r="AE253" s="280">
        <v>9.8740000000000006</v>
      </c>
      <c r="AF253" s="280">
        <v>254</v>
      </c>
    </row>
    <row r="254" spans="24:32" ht="30">
      <c r="X254" s="280">
        <v>272</v>
      </c>
      <c r="Y254" s="280" t="s">
        <v>1200</v>
      </c>
      <c r="Z254" s="280" t="s">
        <v>802</v>
      </c>
      <c r="AA254" s="280" t="s">
        <v>232</v>
      </c>
      <c r="AB254" s="280" t="s">
        <v>782</v>
      </c>
      <c r="AC254" s="280" t="s">
        <v>857</v>
      </c>
      <c r="AD254" s="282">
        <v>6.3333333333333339E-2</v>
      </c>
      <c r="AE254" s="280">
        <v>9.8680000000000003</v>
      </c>
      <c r="AF254" s="280">
        <v>255</v>
      </c>
    </row>
    <row r="255" spans="24:32">
      <c r="X255" s="280">
        <v>453</v>
      </c>
      <c r="Y255" s="280" t="s">
        <v>1201</v>
      </c>
      <c r="Z255" s="280" t="s">
        <v>977</v>
      </c>
      <c r="AA255" s="280" t="s">
        <v>232</v>
      </c>
      <c r="AB255" s="280" t="s">
        <v>769</v>
      </c>
      <c r="AC255" s="280">
        <v>0</v>
      </c>
      <c r="AD255" s="282">
        <v>6.3356481481481486E-2</v>
      </c>
      <c r="AE255" s="280">
        <v>9.8650000000000002</v>
      </c>
      <c r="AF255" s="280">
        <v>256</v>
      </c>
    </row>
    <row r="256" spans="24:32" ht="60">
      <c r="X256" s="280">
        <v>18</v>
      </c>
      <c r="Y256" s="280" t="s">
        <v>1202</v>
      </c>
      <c r="Z256" s="280" t="s">
        <v>901</v>
      </c>
      <c r="AA256" s="280" t="s">
        <v>232</v>
      </c>
      <c r="AB256" s="280" t="s">
        <v>782</v>
      </c>
      <c r="AC256" s="280" t="s">
        <v>1164</v>
      </c>
      <c r="AD256" s="282">
        <v>6.3460648148148155E-2</v>
      </c>
      <c r="AE256" s="280">
        <v>9.8490000000000002</v>
      </c>
      <c r="AF256" s="280">
        <v>257</v>
      </c>
    </row>
    <row r="257" spans="24:32">
      <c r="X257" s="280">
        <v>426</v>
      </c>
      <c r="Y257" s="280" t="s">
        <v>1203</v>
      </c>
      <c r="Z257" s="280" t="s">
        <v>1204</v>
      </c>
      <c r="AA257" s="280" t="s">
        <v>232</v>
      </c>
      <c r="AB257" s="280" t="s">
        <v>769</v>
      </c>
      <c r="AC257" s="280">
        <v>0</v>
      </c>
      <c r="AD257" s="282">
        <v>6.3541666666666663E-2</v>
      </c>
      <c r="AE257" s="280">
        <v>9.8360000000000003</v>
      </c>
      <c r="AF257" s="280">
        <v>258</v>
      </c>
    </row>
    <row r="258" spans="24:32">
      <c r="X258" s="280">
        <v>446</v>
      </c>
      <c r="Y258" s="280" t="s">
        <v>1205</v>
      </c>
      <c r="Z258" s="280" t="s">
        <v>1029</v>
      </c>
      <c r="AA258" s="280" t="s">
        <v>232</v>
      </c>
      <c r="AB258" s="280" t="s">
        <v>831</v>
      </c>
      <c r="AC258" s="280" t="s">
        <v>1206</v>
      </c>
      <c r="AD258" s="282">
        <v>6.3576388888888891E-2</v>
      </c>
      <c r="AE258" s="280">
        <v>9.8309999999999995</v>
      </c>
      <c r="AF258" s="280">
        <v>259</v>
      </c>
    </row>
    <row r="259" spans="24:32" ht="30">
      <c r="X259" s="280">
        <v>168</v>
      </c>
      <c r="Y259" s="280" t="s">
        <v>1207</v>
      </c>
      <c r="Z259" s="280" t="s">
        <v>1208</v>
      </c>
      <c r="AA259" s="280" t="s">
        <v>889</v>
      </c>
      <c r="AB259" s="280" t="s">
        <v>769</v>
      </c>
      <c r="AC259" s="280" t="s">
        <v>930</v>
      </c>
      <c r="AD259" s="282">
        <v>6.3645833333333332E-2</v>
      </c>
      <c r="AE259" s="280">
        <v>9.82</v>
      </c>
      <c r="AF259" s="280">
        <v>260</v>
      </c>
    </row>
    <row r="260" spans="24:32" ht="30">
      <c r="X260" s="280">
        <v>167</v>
      </c>
      <c r="Y260" s="280" t="s">
        <v>1209</v>
      </c>
      <c r="Z260" s="280" t="s">
        <v>969</v>
      </c>
      <c r="AA260" s="280" t="s">
        <v>232</v>
      </c>
      <c r="AB260" s="280" t="s">
        <v>782</v>
      </c>
      <c r="AC260" s="280" t="s">
        <v>930</v>
      </c>
      <c r="AD260" s="282">
        <v>6.368055555555556E-2</v>
      </c>
      <c r="AE260" s="280">
        <v>9.8149999999999995</v>
      </c>
      <c r="AF260" s="280">
        <v>261</v>
      </c>
    </row>
    <row r="261" spans="24:32" ht="30">
      <c r="X261" s="280">
        <v>133</v>
      </c>
      <c r="Y261" s="280" t="s">
        <v>1210</v>
      </c>
      <c r="Z261" s="280" t="s">
        <v>1211</v>
      </c>
      <c r="AA261" s="280" t="s">
        <v>889</v>
      </c>
      <c r="AB261" s="280" t="s">
        <v>782</v>
      </c>
      <c r="AC261" s="280">
        <v>0</v>
      </c>
      <c r="AD261" s="282">
        <v>6.3773148148148148E-2</v>
      </c>
      <c r="AE261" s="280">
        <v>9.8000000000000007</v>
      </c>
      <c r="AF261" s="280">
        <v>262</v>
      </c>
    </row>
    <row r="262" spans="24:32" ht="30">
      <c r="X262" s="280">
        <v>250</v>
      </c>
      <c r="Y262" s="280" t="s">
        <v>1212</v>
      </c>
      <c r="Z262" s="280" t="s">
        <v>1030</v>
      </c>
      <c r="AA262" s="280" t="s">
        <v>232</v>
      </c>
      <c r="AB262" s="280" t="s">
        <v>782</v>
      </c>
      <c r="AC262" s="280" t="s">
        <v>783</v>
      </c>
      <c r="AD262" s="282">
        <v>6.3796296296296295E-2</v>
      </c>
      <c r="AE262" s="280">
        <v>9.7970000000000006</v>
      </c>
      <c r="AF262" s="280">
        <v>263</v>
      </c>
    </row>
    <row r="263" spans="24:32" ht="30">
      <c r="X263" s="280">
        <v>96</v>
      </c>
      <c r="Y263" s="280" t="s">
        <v>922</v>
      </c>
      <c r="Z263" s="280" t="s">
        <v>916</v>
      </c>
      <c r="AA263" s="280" t="s">
        <v>232</v>
      </c>
      <c r="AB263" s="280" t="s">
        <v>819</v>
      </c>
      <c r="AC263" s="280" t="s">
        <v>1011</v>
      </c>
      <c r="AD263" s="282">
        <v>6.3831018518518523E-2</v>
      </c>
      <c r="AE263" s="280">
        <v>9.7910000000000004</v>
      </c>
      <c r="AF263" s="280">
        <v>264</v>
      </c>
    </row>
    <row r="264" spans="24:32">
      <c r="X264" s="280">
        <v>484</v>
      </c>
      <c r="Y264" s="280" t="s">
        <v>1213</v>
      </c>
      <c r="Z264" s="280" t="s">
        <v>1007</v>
      </c>
      <c r="AA264" s="280" t="s">
        <v>232</v>
      </c>
      <c r="AB264" s="280" t="s">
        <v>782</v>
      </c>
      <c r="AC264" s="280" t="s">
        <v>1214</v>
      </c>
      <c r="AD264" s="282">
        <v>6.385416666666667E-2</v>
      </c>
      <c r="AE264" s="280">
        <v>9.7880000000000003</v>
      </c>
      <c r="AF264" s="280">
        <v>265</v>
      </c>
    </row>
    <row r="265" spans="24:32" ht="30">
      <c r="X265" s="280">
        <v>464</v>
      </c>
      <c r="Y265" s="280" t="s">
        <v>1215</v>
      </c>
      <c r="Z265" s="280" t="s">
        <v>1216</v>
      </c>
      <c r="AA265" s="280" t="s">
        <v>232</v>
      </c>
      <c r="AB265" s="280" t="s">
        <v>831</v>
      </c>
      <c r="AC265" s="280">
        <v>0</v>
      </c>
      <c r="AD265" s="282">
        <v>6.3969907407407406E-2</v>
      </c>
      <c r="AE265" s="280">
        <v>9.77</v>
      </c>
      <c r="AF265" s="280">
        <v>266</v>
      </c>
    </row>
    <row r="266" spans="24:32">
      <c r="X266" s="280">
        <v>267</v>
      </c>
      <c r="Y266" s="280" t="s">
        <v>1217</v>
      </c>
      <c r="Z266" s="280" t="s">
        <v>957</v>
      </c>
      <c r="AA266" s="280" t="s">
        <v>232</v>
      </c>
      <c r="AB266" s="280" t="s">
        <v>831</v>
      </c>
      <c r="AC266" s="280">
        <v>0</v>
      </c>
      <c r="AD266" s="282">
        <v>6.4027777777777781E-2</v>
      </c>
      <c r="AE266" s="280">
        <v>9.7609999999999992</v>
      </c>
      <c r="AF266" s="280">
        <v>267</v>
      </c>
    </row>
    <row r="267" spans="24:32" ht="30">
      <c r="X267" s="280">
        <v>245</v>
      </c>
      <c r="Y267" s="280" t="s">
        <v>1218</v>
      </c>
      <c r="Z267" s="280" t="s">
        <v>1219</v>
      </c>
      <c r="AA267" s="280" t="s">
        <v>889</v>
      </c>
      <c r="AB267" s="280" t="s">
        <v>782</v>
      </c>
      <c r="AC267" s="280" t="s">
        <v>948</v>
      </c>
      <c r="AD267" s="282">
        <v>6.4143518518518516E-2</v>
      </c>
      <c r="AE267" s="280">
        <v>9.7439999999999998</v>
      </c>
      <c r="AF267" s="280">
        <v>268</v>
      </c>
    </row>
    <row r="268" spans="24:32" ht="30">
      <c r="X268" s="280">
        <v>422</v>
      </c>
      <c r="Y268" s="280" t="s">
        <v>1220</v>
      </c>
      <c r="Z268" s="280" t="s">
        <v>989</v>
      </c>
      <c r="AA268" s="280" t="s">
        <v>232</v>
      </c>
      <c r="AB268" s="280" t="s">
        <v>769</v>
      </c>
      <c r="AC268" s="280">
        <v>0</v>
      </c>
      <c r="AD268" s="282">
        <v>6.4224537037037038E-2</v>
      </c>
      <c r="AE268" s="280">
        <v>9.7309999999999999</v>
      </c>
      <c r="AF268" s="280">
        <v>269</v>
      </c>
    </row>
    <row r="269" spans="24:32">
      <c r="X269" s="280">
        <v>49</v>
      </c>
      <c r="Y269" s="280" t="s">
        <v>1221</v>
      </c>
      <c r="Z269" s="280" t="s">
        <v>1222</v>
      </c>
      <c r="AA269" s="280" t="s">
        <v>889</v>
      </c>
      <c r="AB269" s="280" t="s">
        <v>873</v>
      </c>
      <c r="AC269" s="280">
        <v>0</v>
      </c>
      <c r="AD269" s="282">
        <v>6.4270833333333333E-2</v>
      </c>
      <c r="AE269" s="280">
        <v>9.7240000000000002</v>
      </c>
      <c r="AF269" s="280">
        <v>270</v>
      </c>
    </row>
    <row r="270" spans="24:32" ht="30">
      <c r="X270" s="280">
        <v>93</v>
      </c>
      <c r="Y270" s="280" t="s">
        <v>1223</v>
      </c>
      <c r="Z270" s="280" t="s">
        <v>969</v>
      </c>
      <c r="AA270" s="280" t="s">
        <v>232</v>
      </c>
      <c r="AB270" s="280" t="s">
        <v>782</v>
      </c>
      <c r="AC270" s="280">
        <v>0</v>
      </c>
      <c r="AD270" s="282">
        <v>6.430555555555556E-2</v>
      </c>
      <c r="AE270" s="280">
        <v>9.7189999999999994</v>
      </c>
      <c r="AF270" s="280">
        <v>271</v>
      </c>
    </row>
    <row r="271" spans="24:32" ht="45">
      <c r="X271" s="280">
        <v>271</v>
      </c>
      <c r="Y271" s="280" t="s">
        <v>928</v>
      </c>
      <c r="Z271" s="280" t="s">
        <v>1042</v>
      </c>
      <c r="AA271" s="280" t="s">
        <v>889</v>
      </c>
      <c r="AB271" s="280" t="s">
        <v>819</v>
      </c>
      <c r="AC271" s="280" t="s">
        <v>962</v>
      </c>
      <c r="AD271" s="282">
        <v>6.4340277777777774E-2</v>
      </c>
      <c r="AE271" s="280">
        <v>9.7140000000000004</v>
      </c>
      <c r="AF271" s="280">
        <v>272</v>
      </c>
    </row>
    <row r="272" spans="24:32" ht="30">
      <c r="X272" s="280">
        <v>119</v>
      </c>
      <c r="Y272" s="280" t="s">
        <v>1224</v>
      </c>
      <c r="Z272" s="280" t="s">
        <v>1143</v>
      </c>
      <c r="AA272" s="280" t="s">
        <v>232</v>
      </c>
      <c r="AB272" s="280" t="s">
        <v>782</v>
      </c>
      <c r="AC272" s="280" t="s">
        <v>1057</v>
      </c>
      <c r="AD272" s="282">
        <v>6.4363425925925921E-2</v>
      </c>
      <c r="AE272" s="280">
        <v>9.7100000000000009</v>
      </c>
      <c r="AF272" s="280">
        <v>273</v>
      </c>
    </row>
    <row r="273" spans="24:32">
      <c r="X273" s="280">
        <v>425</v>
      </c>
      <c r="Y273" s="280" t="s">
        <v>1225</v>
      </c>
      <c r="Z273" s="280" t="s">
        <v>1141</v>
      </c>
      <c r="AA273" s="280" t="s">
        <v>232</v>
      </c>
      <c r="AB273" s="280" t="s">
        <v>831</v>
      </c>
      <c r="AC273" s="280">
        <v>0</v>
      </c>
      <c r="AD273" s="282">
        <v>6.4398148148148149E-2</v>
      </c>
      <c r="AE273" s="280">
        <v>9.7050000000000001</v>
      </c>
      <c r="AF273" s="280">
        <v>274</v>
      </c>
    </row>
    <row r="274" spans="24:32">
      <c r="X274" s="280">
        <v>188</v>
      </c>
      <c r="Y274" s="280" t="s">
        <v>1226</v>
      </c>
      <c r="Z274" s="280" t="s">
        <v>927</v>
      </c>
      <c r="AA274" s="280" t="s">
        <v>232</v>
      </c>
      <c r="AB274" s="280" t="s">
        <v>782</v>
      </c>
      <c r="AC274" s="280">
        <v>0</v>
      </c>
      <c r="AD274" s="282">
        <v>6.4444444444444443E-2</v>
      </c>
      <c r="AE274" s="280">
        <v>9.6980000000000004</v>
      </c>
      <c r="AF274" s="280">
        <v>275</v>
      </c>
    </row>
    <row r="275" spans="24:32">
      <c r="X275" s="280">
        <v>186</v>
      </c>
      <c r="Y275" s="280" t="s">
        <v>1227</v>
      </c>
      <c r="Z275" s="280" t="s">
        <v>927</v>
      </c>
      <c r="AA275" s="280" t="s">
        <v>232</v>
      </c>
      <c r="AB275" s="280" t="s">
        <v>782</v>
      </c>
      <c r="AC275" s="280">
        <v>0</v>
      </c>
      <c r="AD275" s="282">
        <v>6.4490740740740737E-2</v>
      </c>
      <c r="AE275" s="280">
        <v>9.6910000000000007</v>
      </c>
      <c r="AF275" s="280">
        <v>276</v>
      </c>
    </row>
    <row r="276" spans="24:32" ht="30">
      <c r="X276" s="280">
        <v>140</v>
      </c>
      <c r="Y276" s="280" t="s">
        <v>1228</v>
      </c>
      <c r="Z276" s="280" t="s">
        <v>969</v>
      </c>
      <c r="AA276" s="280" t="s">
        <v>232</v>
      </c>
      <c r="AB276" s="280" t="s">
        <v>769</v>
      </c>
      <c r="AC276" s="280" t="s">
        <v>778</v>
      </c>
      <c r="AD276" s="282">
        <v>6.4513888888888885E-2</v>
      </c>
      <c r="AE276" s="280">
        <v>9.6880000000000006</v>
      </c>
      <c r="AF276" s="280">
        <v>277</v>
      </c>
    </row>
    <row r="277" spans="24:32" ht="30">
      <c r="X277" s="280">
        <v>130</v>
      </c>
      <c r="Y277" s="280" t="s">
        <v>1229</v>
      </c>
      <c r="Z277" s="280" t="s">
        <v>1077</v>
      </c>
      <c r="AA277" s="280" t="s">
        <v>232</v>
      </c>
      <c r="AB277" s="280" t="s">
        <v>831</v>
      </c>
      <c r="AC277" s="280" t="s">
        <v>1230</v>
      </c>
      <c r="AD277" s="282">
        <v>6.4537037037037046E-2</v>
      </c>
      <c r="AE277" s="280">
        <v>9.6839999999999993</v>
      </c>
      <c r="AF277" s="280">
        <v>278</v>
      </c>
    </row>
    <row r="278" spans="24:32" ht="30">
      <c r="X278" s="280">
        <v>291</v>
      </c>
      <c r="Y278" s="280" t="s">
        <v>1016</v>
      </c>
      <c r="Z278" s="280" t="s">
        <v>1231</v>
      </c>
      <c r="AA278" s="280" t="s">
        <v>889</v>
      </c>
      <c r="AB278" s="280" t="s">
        <v>769</v>
      </c>
      <c r="AC278" s="280" t="s">
        <v>854</v>
      </c>
      <c r="AD278" s="282">
        <v>6.4571759259259259E-2</v>
      </c>
      <c r="AE278" s="280">
        <v>9.6790000000000003</v>
      </c>
      <c r="AF278" s="280">
        <v>279</v>
      </c>
    </row>
    <row r="279" spans="24:32">
      <c r="X279" s="280">
        <v>358</v>
      </c>
      <c r="Y279" s="280" t="s">
        <v>1232</v>
      </c>
      <c r="Z279" s="280" t="s">
        <v>947</v>
      </c>
      <c r="AA279" s="280" t="s">
        <v>232</v>
      </c>
      <c r="AB279" s="280" t="s">
        <v>782</v>
      </c>
      <c r="AC279" s="280">
        <v>0</v>
      </c>
      <c r="AD279" s="282">
        <v>6.4629629629629634E-2</v>
      </c>
      <c r="AE279" s="280">
        <v>9.67</v>
      </c>
      <c r="AF279" s="280">
        <v>280</v>
      </c>
    </row>
    <row r="280" spans="24:32">
      <c r="X280" s="280">
        <v>209</v>
      </c>
      <c r="Y280" s="280" t="s">
        <v>849</v>
      </c>
      <c r="Z280" s="280" t="s">
        <v>998</v>
      </c>
      <c r="AA280" s="280" t="s">
        <v>232</v>
      </c>
      <c r="AB280" s="280" t="s">
        <v>769</v>
      </c>
      <c r="AC280" s="280">
        <v>0</v>
      </c>
      <c r="AD280" s="282">
        <v>6.5023148148148149E-2</v>
      </c>
      <c r="AE280" s="280">
        <v>9.6120000000000001</v>
      </c>
      <c r="AF280" s="280">
        <v>281</v>
      </c>
    </row>
    <row r="281" spans="24:32" ht="30">
      <c r="X281" s="280">
        <v>483</v>
      </c>
      <c r="Y281" s="280" t="s">
        <v>1032</v>
      </c>
      <c r="Z281" s="280" t="s">
        <v>1101</v>
      </c>
      <c r="AA281" s="280" t="s">
        <v>232</v>
      </c>
      <c r="AB281" s="280" t="s">
        <v>831</v>
      </c>
      <c r="AC281" s="280">
        <v>0</v>
      </c>
      <c r="AD281" s="282">
        <v>6.5162037037037032E-2</v>
      </c>
      <c r="AE281" s="280">
        <v>9.5909999999999993</v>
      </c>
      <c r="AF281" s="280">
        <v>282</v>
      </c>
    </row>
    <row r="282" spans="24:32">
      <c r="X282" s="280">
        <v>331</v>
      </c>
      <c r="Y282" s="280" t="s">
        <v>1233</v>
      </c>
      <c r="Z282" s="280" t="s">
        <v>856</v>
      </c>
      <c r="AA282" s="280" t="s">
        <v>232</v>
      </c>
      <c r="AB282" s="280" t="s">
        <v>769</v>
      </c>
      <c r="AC282" s="280">
        <v>0</v>
      </c>
      <c r="AD282" s="282">
        <v>6.519675925925926E-2</v>
      </c>
      <c r="AE282" s="280">
        <v>9.5860000000000003</v>
      </c>
      <c r="AF282" s="280">
        <v>283</v>
      </c>
    </row>
    <row r="283" spans="24:32" ht="30">
      <c r="X283" s="280">
        <v>441</v>
      </c>
      <c r="Y283" s="280" t="s">
        <v>1234</v>
      </c>
      <c r="Z283" s="280" t="s">
        <v>1154</v>
      </c>
      <c r="AA283" s="280" t="s">
        <v>232</v>
      </c>
      <c r="AB283" s="280" t="s">
        <v>1078</v>
      </c>
      <c r="AC283" s="280">
        <v>0</v>
      </c>
      <c r="AD283" s="282">
        <v>6.5219907407407407E-2</v>
      </c>
      <c r="AE283" s="280">
        <v>9.5830000000000002</v>
      </c>
      <c r="AF283" s="280">
        <v>284</v>
      </c>
    </row>
    <row r="284" spans="24:32">
      <c r="X284" s="280">
        <v>61</v>
      </c>
      <c r="Y284" s="280" t="s">
        <v>1235</v>
      </c>
      <c r="Z284" s="280" t="s">
        <v>774</v>
      </c>
      <c r="AA284" s="280" t="s">
        <v>232</v>
      </c>
      <c r="AB284" s="280" t="s">
        <v>769</v>
      </c>
      <c r="AC284" s="280">
        <v>0</v>
      </c>
      <c r="AD284" s="282">
        <v>6.5254629629629635E-2</v>
      </c>
      <c r="AE284" s="280">
        <v>9.5779999999999994</v>
      </c>
      <c r="AF284" s="280">
        <v>285</v>
      </c>
    </row>
    <row r="285" spans="24:32" ht="30">
      <c r="X285" s="280">
        <v>163</v>
      </c>
      <c r="Y285" s="280" t="s">
        <v>1236</v>
      </c>
      <c r="Z285" s="280" t="s">
        <v>1237</v>
      </c>
      <c r="AA285" s="280" t="s">
        <v>889</v>
      </c>
      <c r="AB285" s="280" t="s">
        <v>782</v>
      </c>
      <c r="AC285" s="280">
        <v>0</v>
      </c>
      <c r="AD285" s="282">
        <v>6.5277777777777782E-2</v>
      </c>
      <c r="AE285" s="280">
        <v>9.5739999999999998</v>
      </c>
      <c r="AF285" s="280">
        <v>286</v>
      </c>
    </row>
    <row r="286" spans="24:32">
      <c r="X286" s="280">
        <v>161</v>
      </c>
      <c r="Y286" s="280" t="s">
        <v>1238</v>
      </c>
      <c r="Z286" s="280" t="s">
        <v>1237</v>
      </c>
      <c r="AA286" s="280" t="s">
        <v>889</v>
      </c>
      <c r="AB286" s="280" t="s">
        <v>782</v>
      </c>
      <c r="AC286" s="280">
        <v>0</v>
      </c>
      <c r="AD286" s="282">
        <v>6.5300925925925915E-2</v>
      </c>
      <c r="AE286" s="280">
        <v>9.5709999999999997</v>
      </c>
      <c r="AF286" s="280">
        <v>287</v>
      </c>
    </row>
    <row r="287" spans="24:32">
      <c r="X287" s="280">
        <v>189</v>
      </c>
      <c r="Y287" s="280" t="s">
        <v>1239</v>
      </c>
      <c r="Z287" s="280" t="s">
        <v>1149</v>
      </c>
      <c r="AA287" s="280" t="s">
        <v>232</v>
      </c>
      <c r="AB287" s="280" t="s">
        <v>1078</v>
      </c>
      <c r="AC287" s="280">
        <v>0</v>
      </c>
      <c r="AD287" s="282">
        <v>6.5324074074074076E-2</v>
      </c>
      <c r="AE287" s="280">
        <v>9.5679999999999996</v>
      </c>
      <c r="AF287" s="280">
        <v>288</v>
      </c>
    </row>
    <row r="288" spans="24:32">
      <c r="X288" s="280">
        <v>236</v>
      </c>
      <c r="Y288" s="280" t="s">
        <v>1240</v>
      </c>
      <c r="Z288" s="280" t="s">
        <v>1241</v>
      </c>
      <c r="AA288" s="280" t="s">
        <v>889</v>
      </c>
      <c r="AB288" s="280" t="s">
        <v>769</v>
      </c>
      <c r="AC288" s="280">
        <v>0</v>
      </c>
      <c r="AD288" s="282">
        <v>6.5347222222222223E-2</v>
      </c>
      <c r="AE288" s="280">
        <v>9.5640000000000001</v>
      </c>
      <c r="AF288" s="280">
        <v>289</v>
      </c>
    </row>
    <row r="289" spans="24:32">
      <c r="X289" s="280">
        <v>455</v>
      </c>
      <c r="Y289" s="280" t="s">
        <v>1242</v>
      </c>
      <c r="Z289" s="280" t="s">
        <v>953</v>
      </c>
      <c r="AA289" s="280" t="s">
        <v>232</v>
      </c>
      <c r="AB289" s="280" t="s">
        <v>782</v>
      </c>
      <c r="AC289" s="280">
        <v>0</v>
      </c>
      <c r="AD289" s="282">
        <v>6.537037037037037E-2</v>
      </c>
      <c r="AE289" s="280">
        <v>9.5609999999999999</v>
      </c>
      <c r="AF289" s="280">
        <v>290</v>
      </c>
    </row>
    <row r="290" spans="24:32" ht="30">
      <c r="X290" s="280">
        <v>7</v>
      </c>
      <c r="Y290" s="280" t="s">
        <v>1243</v>
      </c>
      <c r="Z290" s="280" t="s">
        <v>1244</v>
      </c>
      <c r="AA290" s="280" t="s">
        <v>889</v>
      </c>
      <c r="AB290" s="280" t="s">
        <v>873</v>
      </c>
      <c r="AC290" s="280" t="s">
        <v>783</v>
      </c>
      <c r="AD290" s="282">
        <v>6.5405092592592584E-2</v>
      </c>
      <c r="AE290" s="280">
        <v>9.5559999999999992</v>
      </c>
      <c r="AF290" s="280">
        <v>291</v>
      </c>
    </row>
    <row r="291" spans="24:32" ht="30">
      <c r="X291" s="280">
        <v>6</v>
      </c>
      <c r="Y291" s="280" t="s">
        <v>1245</v>
      </c>
      <c r="Z291" s="280" t="s">
        <v>846</v>
      </c>
      <c r="AA291" s="280" t="s">
        <v>232</v>
      </c>
      <c r="AB291" s="280" t="s">
        <v>769</v>
      </c>
      <c r="AC291" s="280" t="s">
        <v>783</v>
      </c>
      <c r="AD291" s="282">
        <v>6.5416666666666665E-2</v>
      </c>
      <c r="AE291" s="280">
        <v>9.5540000000000003</v>
      </c>
      <c r="AF291" s="280">
        <v>292</v>
      </c>
    </row>
    <row r="292" spans="24:32" ht="30">
      <c r="X292" s="280">
        <v>323</v>
      </c>
      <c r="Y292" s="280" t="s">
        <v>1246</v>
      </c>
      <c r="Z292" s="280" t="s">
        <v>925</v>
      </c>
      <c r="AA292" s="280" t="s">
        <v>232</v>
      </c>
      <c r="AB292" s="280" t="s">
        <v>769</v>
      </c>
      <c r="AC292" s="280" t="s">
        <v>1247</v>
      </c>
      <c r="AD292" s="282">
        <v>6.5439814814814812E-2</v>
      </c>
      <c r="AE292" s="280">
        <v>9.5510000000000002</v>
      </c>
      <c r="AF292" s="280">
        <v>293</v>
      </c>
    </row>
    <row r="293" spans="24:32">
      <c r="X293" s="280">
        <v>13</v>
      </c>
      <c r="Y293" s="280" t="s">
        <v>1248</v>
      </c>
      <c r="Z293" s="280" t="s">
        <v>1077</v>
      </c>
      <c r="AA293" s="280" t="s">
        <v>232</v>
      </c>
      <c r="AB293" s="280" t="s">
        <v>831</v>
      </c>
      <c r="AC293" s="280">
        <v>0</v>
      </c>
      <c r="AD293" s="282">
        <v>6.5578703703703708E-2</v>
      </c>
      <c r="AE293" s="280">
        <v>9.5310000000000006</v>
      </c>
      <c r="AF293" s="280">
        <v>294</v>
      </c>
    </row>
    <row r="294" spans="24:32">
      <c r="X294" s="280">
        <v>454</v>
      </c>
      <c r="Y294" s="280" t="s">
        <v>1249</v>
      </c>
      <c r="Z294" s="280" t="s">
        <v>1250</v>
      </c>
      <c r="AA294" s="280" t="s">
        <v>232</v>
      </c>
      <c r="AB294" s="280" t="s">
        <v>769</v>
      </c>
      <c r="AC294" s="280">
        <v>0</v>
      </c>
      <c r="AD294" s="282">
        <v>6.5648148148148136E-2</v>
      </c>
      <c r="AE294" s="280">
        <v>9.52</v>
      </c>
      <c r="AF294" s="280">
        <v>295</v>
      </c>
    </row>
    <row r="295" spans="24:32">
      <c r="X295" s="280">
        <v>463</v>
      </c>
      <c r="Y295" s="280" t="s">
        <v>1251</v>
      </c>
      <c r="Z295" s="280" t="s">
        <v>850</v>
      </c>
      <c r="AA295" s="280" t="s">
        <v>232</v>
      </c>
      <c r="AB295" s="280" t="s">
        <v>782</v>
      </c>
      <c r="AC295" s="280">
        <v>0</v>
      </c>
      <c r="AD295" s="282">
        <v>6.5694444444444444E-2</v>
      </c>
      <c r="AE295" s="280">
        <v>9.5139999999999993</v>
      </c>
      <c r="AF295" s="280">
        <v>296</v>
      </c>
    </row>
    <row r="296" spans="24:32">
      <c r="X296" s="280">
        <v>58</v>
      </c>
      <c r="Y296" s="280" t="s">
        <v>1252</v>
      </c>
      <c r="Z296" s="280" t="s">
        <v>1021</v>
      </c>
      <c r="AA296" s="280" t="s">
        <v>232</v>
      </c>
      <c r="AB296" s="280" t="s">
        <v>782</v>
      </c>
      <c r="AC296" s="280">
        <v>0</v>
      </c>
      <c r="AD296" s="282">
        <v>6.5798611111111113E-2</v>
      </c>
      <c r="AE296" s="280">
        <v>9.4990000000000006</v>
      </c>
      <c r="AF296" s="280">
        <v>297</v>
      </c>
    </row>
    <row r="297" spans="24:32">
      <c r="X297" s="280">
        <v>156</v>
      </c>
      <c r="Y297" s="280" t="s">
        <v>1253</v>
      </c>
      <c r="Z297" s="280" t="s">
        <v>863</v>
      </c>
      <c r="AA297" s="280" t="s">
        <v>889</v>
      </c>
      <c r="AB297" s="280" t="s">
        <v>769</v>
      </c>
      <c r="AC297" s="280" t="s">
        <v>1254</v>
      </c>
      <c r="AD297" s="282">
        <v>6.5937499999999996E-2</v>
      </c>
      <c r="AE297" s="280">
        <v>9.4789999999999992</v>
      </c>
      <c r="AF297" s="280">
        <v>298</v>
      </c>
    </row>
    <row r="298" spans="24:32">
      <c r="X298" s="280">
        <v>421</v>
      </c>
      <c r="Y298" s="280" t="s">
        <v>1255</v>
      </c>
      <c r="Z298" s="280" t="s">
        <v>1180</v>
      </c>
      <c r="AA298" s="280" t="s">
        <v>232</v>
      </c>
      <c r="AB298" s="280" t="s">
        <v>782</v>
      </c>
      <c r="AC298" s="280">
        <v>0</v>
      </c>
      <c r="AD298" s="282">
        <v>6.6006944444444438E-2</v>
      </c>
      <c r="AE298" s="280">
        <v>9.4689999999999994</v>
      </c>
      <c r="AF298" s="280">
        <v>299</v>
      </c>
    </row>
    <row r="299" spans="24:32" ht="30">
      <c r="X299" s="280">
        <v>247</v>
      </c>
      <c r="Y299" s="280" t="s">
        <v>1256</v>
      </c>
      <c r="Z299" s="280" t="s">
        <v>1257</v>
      </c>
      <c r="AA299" s="280" t="s">
        <v>889</v>
      </c>
      <c r="AB299" s="280" t="s">
        <v>782</v>
      </c>
      <c r="AC299" s="280" t="s">
        <v>1199</v>
      </c>
      <c r="AD299" s="282">
        <v>6.6064814814814812E-2</v>
      </c>
      <c r="AE299" s="280">
        <v>9.4600000000000009</v>
      </c>
      <c r="AF299" s="280">
        <v>300</v>
      </c>
    </row>
    <row r="300" spans="24:32">
      <c r="X300" s="280">
        <v>216</v>
      </c>
      <c r="Y300" s="280" t="s">
        <v>1258</v>
      </c>
      <c r="Z300" s="280" t="s">
        <v>1088</v>
      </c>
      <c r="AA300" s="280" t="s">
        <v>232</v>
      </c>
      <c r="AB300" s="280" t="s">
        <v>769</v>
      </c>
      <c r="AC300" s="280">
        <v>0</v>
      </c>
      <c r="AD300" s="282">
        <v>6.6122685185185187E-2</v>
      </c>
      <c r="AE300" s="280">
        <v>9.452</v>
      </c>
      <c r="AF300" s="280">
        <v>301</v>
      </c>
    </row>
    <row r="301" spans="24:32">
      <c r="X301" s="280">
        <v>215</v>
      </c>
      <c r="Y301" s="280" t="s">
        <v>1259</v>
      </c>
      <c r="Z301" s="280" t="s">
        <v>1098</v>
      </c>
      <c r="AA301" s="280" t="s">
        <v>232</v>
      </c>
      <c r="AB301" s="280" t="s">
        <v>769</v>
      </c>
      <c r="AC301" s="280" t="s">
        <v>1260</v>
      </c>
      <c r="AD301" s="282">
        <v>6.6157407407407401E-2</v>
      </c>
      <c r="AE301" s="280">
        <v>9.4469999999999992</v>
      </c>
      <c r="AF301" s="280">
        <v>302</v>
      </c>
    </row>
    <row r="302" spans="24:32">
      <c r="X302" s="280">
        <v>107</v>
      </c>
      <c r="Y302" s="280" t="s">
        <v>1261</v>
      </c>
      <c r="Z302" s="280" t="s">
        <v>1262</v>
      </c>
      <c r="AA302" s="280" t="s">
        <v>232</v>
      </c>
      <c r="AB302" s="280" t="s">
        <v>769</v>
      </c>
      <c r="AC302" s="280">
        <v>0</v>
      </c>
      <c r="AD302" s="282">
        <v>6.6249999999999989E-2</v>
      </c>
      <c r="AE302" s="280">
        <v>9.4339999999999993</v>
      </c>
      <c r="AF302" s="280">
        <v>303</v>
      </c>
    </row>
    <row r="303" spans="24:32">
      <c r="X303" s="280">
        <v>150</v>
      </c>
      <c r="Y303" s="280" t="s">
        <v>1263</v>
      </c>
      <c r="Z303" s="280" t="s">
        <v>1264</v>
      </c>
      <c r="AA303" s="280" t="s">
        <v>889</v>
      </c>
      <c r="AB303" s="280" t="s">
        <v>831</v>
      </c>
      <c r="AC303" s="280">
        <v>0</v>
      </c>
      <c r="AD303" s="282">
        <v>6.6296296296296298E-2</v>
      </c>
      <c r="AE303" s="280">
        <v>9.4269999999999996</v>
      </c>
      <c r="AF303" s="280">
        <v>304</v>
      </c>
    </row>
    <row r="304" spans="24:32" ht="60">
      <c r="X304" s="280">
        <v>149</v>
      </c>
      <c r="Y304" s="280" t="s">
        <v>1263</v>
      </c>
      <c r="Z304" s="280" t="s">
        <v>802</v>
      </c>
      <c r="AA304" s="280" t="s">
        <v>232</v>
      </c>
      <c r="AB304" s="280" t="s">
        <v>831</v>
      </c>
      <c r="AC304" s="280" t="s">
        <v>1164</v>
      </c>
      <c r="AD304" s="282">
        <v>6.6307870370370378E-2</v>
      </c>
      <c r="AE304" s="280">
        <v>9.4260000000000002</v>
      </c>
      <c r="AF304" s="280">
        <v>305</v>
      </c>
    </row>
    <row r="305" spans="24:32" ht="60">
      <c r="X305" s="280">
        <v>253</v>
      </c>
      <c r="Y305" s="280" t="s">
        <v>1265</v>
      </c>
      <c r="Z305" s="280" t="s">
        <v>927</v>
      </c>
      <c r="AA305" s="280" t="s">
        <v>232</v>
      </c>
      <c r="AB305" s="280" t="s">
        <v>831</v>
      </c>
      <c r="AC305" s="280" t="s">
        <v>1266</v>
      </c>
      <c r="AD305" s="282">
        <v>6.6354166666666659E-2</v>
      </c>
      <c r="AE305" s="280">
        <v>9.4190000000000005</v>
      </c>
      <c r="AF305" s="280">
        <v>306</v>
      </c>
    </row>
    <row r="306" spans="24:32">
      <c r="X306" s="280">
        <v>196</v>
      </c>
      <c r="Y306" s="280" t="s">
        <v>1267</v>
      </c>
      <c r="Z306" s="280" t="s">
        <v>1029</v>
      </c>
      <c r="AA306" s="280" t="s">
        <v>232</v>
      </c>
      <c r="AB306" s="280" t="s">
        <v>831</v>
      </c>
      <c r="AC306" s="280">
        <v>0</v>
      </c>
      <c r="AD306" s="282">
        <v>6.6493055555555555E-2</v>
      </c>
      <c r="AE306" s="280">
        <v>9.3989999999999991</v>
      </c>
      <c r="AF306" s="280">
        <v>307</v>
      </c>
    </row>
    <row r="307" spans="24:32">
      <c r="X307" s="280">
        <v>31</v>
      </c>
      <c r="Y307" s="280" t="s">
        <v>1268</v>
      </c>
      <c r="Z307" s="280" t="s">
        <v>1269</v>
      </c>
      <c r="AA307" s="280" t="s">
        <v>232</v>
      </c>
      <c r="AB307" s="280" t="s">
        <v>831</v>
      </c>
      <c r="AC307" s="280">
        <v>0</v>
      </c>
      <c r="AD307" s="282">
        <v>6.6516203703703702E-2</v>
      </c>
      <c r="AE307" s="280">
        <v>9.3960000000000008</v>
      </c>
      <c r="AF307" s="280">
        <v>308</v>
      </c>
    </row>
    <row r="308" spans="24:32">
      <c r="X308" s="280">
        <v>461</v>
      </c>
      <c r="Y308" s="280" t="s">
        <v>1270</v>
      </c>
      <c r="Z308" s="280" t="s">
        <v>1019</v>
      </c>
      <c r="AA308" s="280" t="s">
        <v>232</v>
      </c>
      <c r="AB308" s="280" t="s">
        <v>769</v>
      </c>
      <c r="AC308" s="280">
        <v>0</v>
      </c>
      <c r="AD308" s="282">
        <v>6.653935185185185E-2</v>
      </c>
      <c r="AE308" s="280">
        <v>9.3930000000000007</v>
      </c>
      <c r="AF308" s="280">
        <v>309</v>
      </c>
    </row>
    <row r="309" spans="24:32">
      <c r="X309" s="280">
        <v>449</v>
      </c>
      <c r="Y309" s="280" t="s">
        <v>1271</v>
      </c>
      <c r="Z309" s="280" t="s">
        <v>850</v>
      </c>
      <c r="AA309" s="280" t="s">
        <v>232</v>
      </c>
      <c r="AB309" s="280" t="s">
        <v>831</v>
      </c>
      <c r="AC309" s="280">
        <v>0</v>
      </c>
      <c r="AD309" s="282">
        <v>6.6608796296296291E-2</v>
      </c>
      <c r="AE309" s="280">
        <v>9.3829999999999991</v>
      </c>
      <c r="AF309" s="280">
        <v>310</v>
      </c>
    </row>
    <row r="310" spans="24:32">
      <c r="X310" s="280">
        <v>445</v>
      </c>
      <c r="Y310" s="280" t="s">
        <v>1272</v>
      </c>
      <c r="Z310" s="280" t="s">
        <v>781</v>
      </c>
      <c r="AA310" s="280" t="s">
        <v>232</v>
      </c>
      <c r="AB310" s="280" t="s">
        <v>769</v>
      </c>
      <c r="AC310" s="280">
        <v>0</v>
      </c>
      <c r="AD310" s="282">
        <v>6.6655092592592599E-2</v>
      </c>
      <c r="AE310" s="280">
        <v>9.3770000000000007</v>
      </c>
      <c r="AF310" s="280">
        <v>311</v>
      </c>
    </row>
    <row r="311" spans="24:32">
      <c r="X311" s="280">
        <v>222</v>
      </c>
      <c r="Y311" s="280" t="s">
        <v>1273</v>
      </c>
      <c r="Z311" s="280" t="s">
        <v>1141</v>
      </c>
      <c r="AA311" s="280" t="s">
        <v>232</v>
      </c>
      <c r="AB311" s="280" t="s">
        <v>769</v>
      </c>
      <c r="AC311" s="280">
        <v>0</v>
      </c>
      <c r="AD311" s="282">
        <v>6.6898148148148151E-2</v>
      </c>
      <c r="AE311" s="280">
        <v>9.343</v>
      </c>
      <c r="AF311" s="280">
        <v>312</v>
      </c>
    </row>
    <row r="312" spans="24:32">
      <c r="X312" s="280">
        <v>274</v>
      </c>
      <c r="Y312" s="280" t="s">
        <v>1274</v>
      </c>
      <c r="Z312" s="280" t="s">
        <v>818</v>
      </c>
      <c r="AA312" s="280" t="s">
        <v>232</v>
      </c>
      <c r="AB312" s="280" t="s">
        <v>769</v>
      </c>
      <c r="AC312" s="280">
        <v>0</v>
      </c>
      <c r="AD312" s="282">
        <v>6.6956018518518512E-2</v>
      </c>
      <c r="AE312" s="280">
        <v>9.3339999999999996</v>
      </c>
      <c r="AF312" s="280">
        <v>313</v>
      </c>
    </row>
    <row r="313" spans="24:32">
      <c r="X313" s="280">
        <v>233</v>
      </c>
      <c r="Y313" s="280" t="s">
        <v>1275</v>
      </c>
      <c r="Z313" s="280" t="s">
        <v>1276</v>
      </c>
      <c r="AA313" s="280" t="s">
        <v>889</v>
      </c>
      <c r="AB313" s="280" t="s">
        <v>769</v>
      </c>
      <c r="AC313" s="280">
        <v>0</v>
      </c>
      <c r="AD313" s="282">
        <v>6.7013888888888887E-2</v>
      </c>
      <c r="AE313" s="280">
        <v>9.3260000000000005</v>
      </c>
      <c r="AF313" s="280">
        <v>314</v>
      </c>
    </row>
    <row r="314" spans="24:32" ht="30">
      <c r="X314" s="280">
        <v>365</v>
      </c>
      <c r="Y314" s="280" t="s">
        <v>1277</v>
      </c>
      <c r="Z314" s="280" t="s">
        <v>1278</v>
      </c>
      <c r="AA314" s="280" t="s">
        <v>232</v>
      </c>
      <c r="AB314" s="280" t="s">
        <v>831</v>
      </c>
      <c r="AC314" s="280" t="s">
        <v>1050</v>
      </c>
      <c r="AD314" s="282">
        <v>6.7037037037037034E-2</v>
      </c>
      <c r="AE314" s="280">
        <v>9.3230000000000004</v>
      </c>
      <c r="AF314" s="280">
        <v>315</v>
      </c>
    </row>
    <row r="315" spans="24:32" ht="30">
      <c r="X315" s="280">
        <v>101</v>
      </c>
      <c r="Y315" s="280" t="s">
        <v>1279</v>
      </c>
      <c r="Z315" s="280" t="s">
        <v>836</v>
      </c>
      <c r="AA315" s="280" t="s">
        <v>232</v>
      </c>
      <c r="AB315" s="280" t="s">
        <v>782</v>
      </c>
      <c r="AC315" s="280">
        <v>0</v>
      </c>
      <c r="AD315" s="282">
        <v>6.7106481481481475E-2</v>
      </c>
      <c r="AE315" s="280">
        <v>9.3140000000000001</v>
      </c>
      <c r="AF315" s="280">
        <v>316</v>
      </c>
    </row>
    <row r="316" spans="24:32" ht="45">
      <c r="X316" s="280">
        <v>356</v>
      </c>
      <c r="Y316" s="280" t="s">
        <v>1280</v>
      </c>
      <c r="Z316" s="280" t="s">
        <v>977</v>
      </c>
      <c r="AA316" s="280" t="s">
        <v>232</v>
      </c>
      <c r="AB316" s="280" t="s">
        <v>782</v>
      </c>
      <c r="AC316" s="280" t="s">
        <v>902</v>
      </c>
      <c r="AD316" s="282">
        <v>6.7187499999999997E-2</v>
      </c>
      <c r="AE316" s="280">
        <v>9.3019999999999996</v>
      </c>
      <c r="AF316" s="280">
        <v>317</v>
      </c>
    </row>
    <row r="317" spans="24:32">
      <c r="X317" s="280">
        <v>466</v>
      </c>
      <c r="Y317" s="280" t="s">
        <v>1281</v>
      </c>
      <c r="Z317" s="280" t="s">
        <v>1282</v>
      </c>
      <c r="AA317" s="280" t="s">
        <v>889</v>
      </c>
      <c r="AB317" s="280" t="s">
        <v>769</v>
      </c>
      <c r="AC317" s="280">
        <v>0</v>
      </c>
      <c r="AD317" s="282">
        <v>6.7280092592592586E-2</v>
      </c>
      <c r="AE317" s="280">
        <v>9.2899999999999991</v>
      </c>
      <c r="AF317" s="280">
        <v>318</v>
      </c>
    </row>
    <row r="318" spans="24:32">
      <c r="X318" s="280">
        <v>430</v>
      </c>
      <c r="Y318" s="280" t="s">
        <v>1283</v>
      </c>
      <c r="Z318" s="280" t="s">
        <v>1284</v>
      </c>
      <c r="AA318" s="280" t="s">
        <v>889</v>
      </c>
      <c r="AB318" s="280" t="s">
        <v>782</v>
      </c>
      <c r="AC318" s="280" t="s">
        <v>1011</v>
      </c>
      <c r="AD318" s="282">
        <v>6.7314814814814813E-2</v>
      </c>
      <c r="AE318" s="280">
        <v>9.2850000000000001</v>
      </c>
      <c r="AF318" s="280">
        <v>319</v>
      </c>
    </row>
    <row r="319" spans="24:32" ht="45">
      <c r="X319" s="280">
        <v>92</v>
      </c>
      <c r="Y319" s="280" t="s">
        <v>916</v>
      </c>
      <c r="Z319" s="280" t="s">
        <v>807</v>
      </c>
      <c r="AA319" s="280" t="s">
        <v>232</v>
      </c>
      <c r="AB319" s="280" t="s">
        <v>782</v>
      </c>
      <c r="AC319" s="280" t="s">
        <v>1285</v>
      </c>
      <c r="AD319" s="282">
        <v>6.7337962962962961E-2</v>
      </c>
      <c r="AE319" s="280">
        <v>9.282</v>
      </c>
      <c r="AF319" s="280">
        <v>320</v>
      </c>
    </row>
    <row r="320" spans="24:32">
      <c r="X320" s="280">
        <v>340</v>
      </c>
      <c r="Y320" s="280" t="s">
        <v>1286</v>
      </c>
      <c r="Z320" s="280" t="s">
        <v>1287</v>
      </c>
      <c r="AA320" s="280" t="s">
        <v>232</v>
      </c>
      <c r="AB320" s="280" t="s">
        <v>873</v>
      </c>
      <c r="AC320" s="280">
        <v>0</v>
      </c>
      <c r="AD320" s="282">
        <v>6.7361111111111108E-2</v>
      </c>
      <c r="AE320" s="280">
        <v>9.2780000000000005</v>
      </c>
      <c r="AF320" s="280">
        <v>321</v>
      </c>
    </row>
    <row r="321" spans="24:32" ht="30">
      <c r="X321" s="280">
        <v>73</v>
      </c>
      <c r="Y321" s="280" t="s">
        <v>1288</v>
      </c>
      <c r="Z321" s="280" t="s">
        <v>1289</v>
      </c>
      <c r="AA321" s="280" t="s">
        <v>889</v>
      </c>
      <c r="AB321" s="280" t="s">
        <v>831</v>
      </c>
      <c r="AC321" s="280" t="s">
        <v>870</v>
      </c>
      <c r="AD321" s="282">
        <v>6.7372685185185188E-2</v>
      </c>
      <c r="AE321" s="280">
        <v>9.2769999999999992</v>
      </c>
      <c r="AF321" s="280">
        <v>322</v>
      </c>
    </row>
    <row r="322" spans="24:32">
      <c r="X322" s="280">
        <v>252</v>
      </c>
      <c r="Y322" s="280" t="s">
        <v>1290</v>
      </c>
      <c r="Z322" s="280" t="s">
        <v>1291</v>
      </c>
      <c r="AA322" s="280" t="s">
        <v>232</v>
      </c>
      <c r="AB322" s="280" t="s">
        <v>831</v>
      </c>
      <c r="AC322" s="280">
        <v>0</v>
      </c>
      <c r="AD322" s="282">
        <v>6.7395833333333335E-2</v>
      </c>
      <c r="AE322" s="280">
        <v>9.2739999999999991</v>
      </c>
      <c r="AF322" s="280">
        <v>323</v>
      </c>
    </row>
    <row r="323" spans="24:32">
      <c r="X323" s="280">
        <v>145</v>
      </c>
      <c r="Y323" s="280" t="s">
        <v>1212</v>
      </c>
      <c r="Z323" s="280" t="s">
        <v>1211</v>
      </c>
      <c r="AA323" s="280" t="s">
        <v>889</v>
      </c>
      <c r="AB323" s="280" t="s">
        <v>831</v>
      </c>
      <c r="AC323" s="280" t="s">
        <v>939</v>
      </c>
      <c r="AD323" s="282">
        <v>6.7465277777777777E-2</v>
      </c>
      <c r="AE323" s="280">
        <v>9.2639999999999993</v>
      </c>
      <c r="AF323" s="280">
        <v>324</v>
      </c>
    </row>
    <row r="324" spans="24:32">
      <c r="X324" s="280">
        <v>63</v>
      </c>
      <c r="Y324" s="280" t="s">
        <v>1292</v>
      </c>
      <c r="Z324" s="280" t="s">
        <v>1293</v>
      </c>
      <c r="AA324" s="280" t="s">
        <v>889</v>
      </c>
      <c r="AB324" s="280" t="s">
        <v>782</v>
      </c>
      <c r="AC324" s="280">
        <v>0</v>
      </c>
      <c r="AD324" s="282">
        <v>6.7638888888888887E-2</v>
      </c>
      <c r="AE324" s="280">
        <v>9.24</v>
      </c>
      <c r="AF324" s="280">
        <v>325</v>
      </c>
    </row>
    <row r="325" spans="24:32">
      <c r="X325" s="280">
        <v>308</v>
      </c>
      <c r="Y325" s="280" t="s">
        <v>1294</v>
      </c>
      <c r="Z325" s="280" t="s">
        <v>846</v>
      </c>
      <c r="AA325" s="280" t="s">
        <v>232</v>
      </c>
      <c r="AB325" s="280" t="s">
        <v>782</v>
      </c>
      <c r="AC325" s="280">
        <v>0</v>
      </c>
      <c r="AD325" s="282">
        <v>6.7824074074074078E-2</v>
      </c>
      <c r="AE325" s="280">
        <v>9.2149999999999999</v>
      </c>
      <c r="AF325" s="280">
        <v>326</v>
      </c>
    </row>
    <row r="326" spans="24:32">
      <c r="X326" s="280">
        <v>103</v>
      </c>
      <c r="Y326" s="280" t="s">
        <v>1295</v>
      </c>
      <c r="Z326" s="280" t="s">
        <v>1296</v>
      </c>
      <c r="AA326" s="280" t="s">
        <v>889</v>
      </c>
      <c r="AB326" s="280" t="s">
        <v>782</v>
      </c>
      <c r="AC326" s="280" t="s">
        <v>939</v>
      </c>
      <c r="AD326" s="282">
        <v>6.789351851851852E-2</v>
      </c>
      <c r="AE326" s="280">
        <v>9.2059999999999995</v>
      </c>
      <c r="AF326" s="280">
        <v>327</v>
      </c>
    </row>
    <row r="327" spans="24:32">
      <c r="X327" s="280">
        <v>472</v>
      </c>
      <c r="Y327" s="280" t="s">
        <v>1297</v>
      </c>
      <c r="Z327" s="280" t="s">
        <v>1112</v>
      </c>
      <c r="AA327" s="280" t="s">
        <v>232</v>
      </c>
      <c r="AB327" s="280" t="s">
        <v>831</v>
      </c>
      <c r="AC327" s="280" t="s">
        <v>1298</v>
      </c>
      <c r="AD327" s="282">
        <v>6.8159722222222219E-2</v>
      </c>
      <c r="AE327" s="280">
        <v>9.17</v>
      </c>
      <c r="AF327" s="280">
        <v>328</v>
      </c>
    </row>
    <row r="328" spans="24:32">
      <c r="X328" s="280">
        <v>348</v>
      </c>
      <c r="Y328" s="280" t="s">
        <v>1299</v>
      </c>
      <c r="Z328" s="280" t="s">
        <v>1300</v>
      </c>
      <c r="AA328" s="280" t="s">
        <v>889</v>
      </c>
      <c r="AB328" s="280" t="s">
        <v>819</v>
      </c>
      <c r="AC328" s="280">
        <v>0</v>
      </c>
      <c r="AD328" s="282">
        <v>6.8194444444444446E-2</v>
      </c>
      <c r="AE328" s="280">
        <v>9.1649999999999991</v>
      </c>
      <c r="AF328" s="280">
        <v>329</v>
      </c>
    </row>
    <row r="329" spans="24:32">
      <c r="X329" s="280">
        <v>263</v>
      </c>
      <c r="Y329" s="280" t="s">
        <v>1301</v>
      </c>
      <c r="Z329" s="280" t="s">
        <v>1302</v>
      </c>
      <c r="AA329" s="280" t="s">
        <v>889</v>
      </c>
      <c r="AB329" s="280" t="s">
        <v>769</v>
      </c>
      <c r="AC329" s="280">
        <v>0</v>
      </c>
      <c r="AD329" s="282">
        <v>6.822916666666666E-2</v>
      </c>
      <c r="AE329" s="280">
        <v>9.16</v>
      </c>
      <c r="AF329" s="280">
        <v>330</v>
      </c>
    </row>
    <row r="330" spans="24:32">
      <c r="X330" s="280">
        <v>219</v>
      </c>
      <c r="Y330" s="280" t="s">
        <v>1303</v>
      </c>
      <c r="Z330" s="280" t="s">
        <v>1304</v>
      </c>
      <c r="AA330" s="280" t="s">
        <v>232</v>
      </c>
      <c r="AB330" s="280" t="s">
        <v>782</v>
      </c>
      <c r="AC330" s="280">
        <v>0</v>
      </c>
      <c r="AD330" s="282">
        <v>6.8298611111111115E-2</v>
      </c>
      <c r="AE330" s="280">
        <v>9.1509999999999998</v>
      </c>
      <c r="AF330" s="280">
        <v>331</v>
      </c>
    </row>
    <row r="331" spans="24:32" ht="30">
      <c r="X331" s="280">
        <v>81</v>
      </c>
      <c r="Y331" s="280" t="s">
        <v>1305</v>
      </c>
      <c r="Z331" s="280" t="s">
        <v>1306</v>
      </c>
      <c r="AA331" s="280" t="s">
        <v>232</v>
      </c>
      <c r="AB331" s="280" t="s">
        <v>769</v>
      </c>
      <c r="AC331" s="280" t="s">
        <v>783</v>
      </c>
      <c r="AD331" s="282">
        <v>6.8368055555555557E-2</v>
      </c>
      <c r="AE331" s="280">
        <v>9.1419999999999995</v>
      </c>
      <c r="AF331" s="280">
        <v>332</v>
      </c>
    </row>
    <row r="332" spans="24:32">
      <c r="X332" s="280">
        <v>99</v>
      </c>
      <c r="Y332" s="280" t="s">
        <v>1307</v>
      </c>
      <c r="Z332" s="280" t="s">
        <v>998</v>
      </c>
      <c r="AA332" s="280" t="s">
        <v>232</v>
      </c>
      <c r="AB332" s="280" t="s">
        <v>782</v>
      </c>
      <c r="AC332" s="280" t="s">
        <v>870</v>
      </c>
      <c r="AD332" s="282">
        <v>6.87962962962963E-2</v>
      </c>
      <c r="AE332" s="280">
        <v>9.0850000000000009</v>
      </c>
      <c r="AF332" s="280">
        <v>333</v>
      </c>
    </row>
    <row r="333" spans="24:32" ht="30">
      <c r="X333" s="280">
        <v>191</v>
      </c>
      <c r="Y333" s="280" t="s">
        <v>1308</v>
      </c>
      <c r="Z333" s="280" t="s">
        <v>1019</v>
      </c>
      <c r="AA333" s="280" t="s">
        <v>232</v>
      </c>
      <c r="AB333" s="280" t="s">
        <v>831</v>
      </c>
      <c r="AC333" s="280" t="s">
        <v>1309</v>
      </c>
      <c r="AD333" s="282">
        <v>6.8877314814814808E-2</v>
      </c>
      <c r="AE333" s="280">
        <v>9.0739999999999998</v>
      </c>
      <c r="AF333" s="280">
        <v>334</v>
      </c>
    </row>
    <row r="334" spans="24:32">
      <c r="X334" s="280">
        <v>11</v>
      </c>
      <c r="Y334" s="280" t="s">
        <v>1310</v>
      </c>
      <c r="Z334" s="280" t="s">
        <v>1311</v>
      </c>
      <c r="AA334" s="280" t="s">
        <v>889</v>
      </c>
      <c r="AB334" s="280" t="s">
        <v>769</v>
      </c>
      <c r="AC334" s="280">
        <v>0</v>
      </c>
      <c r="AD334" s="282">
        <v>6.8888888888888888E-2</v>
      </c>
      <c r="AE334" s="280">
        <v>9.0730000000000004</v>
      </c>
      <c r="AF334" s="280">
        <v>335</v>
      </c>
    </row>
    <row r="335" spans="24:32" ht="30">
      <c r="X335" s="280">
        <v>82</v>
      </c>
      <c r="Y335" s="280" t="s">
        <v>1312</v>
      </c>
      <c r="Z335" s="280" t="s">
        <v>1313</v>
      </c>
      <c r="AA335" s="280" t="s">
        <v>889</v>
      </c>
      <c r="AB335" s="280" t="s">
        <v>819</v>
      </c>
      <c r="AC335" s="280">
        <v>0</v>
      </c>
      <c r="AD335" s="282">
        <v>6.8935185185185183E-2</v>
      </c>
      <c r="AE335" s="280">
        <v>9.0660000000000007</v>
      </c>
      <c r="AF335" s="280">
        <v>336</v>
      </c>
    </row>
    <row r="336" spans="24:32" ht="30">
      <c r="X336" s="280">
        <v>489</v>
      </c>
      <c r="Y336" s="280" t="s">
        <v>1314</v>
      </c>
      <c r="Z336" s="280" t="s">
        <v>969</v>
      </c>
      <c r="AA336" s="280" t="s">
        <v>232</v>
      </c>
      <c r="AB336" s="280" t="s">
        <v>782</v>
      </c>
      <c r="AC336" s="280">
        <v>0</v>
      </c>
      <c r="AD336" s="282">
        <v>6.8993055555555557E-2</v>
      </c>
      <c r="AE336" s="280">
        <v>9.0589999999999993</v>
      </c>
      <c r="AF336" s="280">
        <v>337</v>
      </c>
    </row>
    <row r="337" spans="24:32">
      <c r="X337" s="280">
        <v>226</v>
      </c>
      <c r="Y337" s="280" t="s">
        <v>1315</v>
      </c>
      <c r="Z337" s="280" t="s">
        <v>1316</v>
      </c>
      <c r="AA337" s="280" t="s">
        <v>232</v>
      </c>
      <c r="AB337" s="280" t="s">
        <v>769</v>
      </c>
      <c r="AC337" s="280">
        <v>0</v>
      </c>
      <c r="AD337" s="282">
        <v>6.9189814814814815E-2</v>
      </c>
      <c r="AE337" s="280">
        <v>9.0329999999999995</v>
      </c>
      <c r="AF337" s="280">
        <v>338</v>
      </c>
    </row>
    <row r="338" spans="24:32">
      <c r="X338" s="280">
        <v>237</v>
      </c>
      <c r="Y338" s="280" t="s">
        <v>1317</v>
      </c>
      <c r="Z338" s="280" t="s">
        <v>1318</v>
      </c>
      <c r="AA338" s="280" t="s">
        <v>232</v>
      </c>
      <c r="AB338" s="280" t="s">
        <v>769</v>
      </c>
      <c r="AC338" s="280">
        <v>0</v>
      </c>
      <c r="AD338" s="282">
        <v>6.9328703703703712E-2</v>
      </c>
      <c r="AE338" s="280">
        <v>9.0150000000000006</v>
      </c>
      <c r="AF338" s="280">
        <v>339</v>
      </c>
    </row>
    <row r="339" spans="24:32" ht="30">
      <c r="X339" s="280">
        <v>126</v>
      </c>
      <c r="Y339" s="280" t="s">
        <v>1319</v>
      </c>
      <c r="Z339" s="280" t="s">
        <v>983</v>
      </c>
      <c r="AA339" s="280" t="s">
        <v>232</v>
      </c>
      <c r="AB339" s="280" t="s">
        <v>782</v>
      </c>
      <c r="AC339" s="280" t="s">
        <v>783</v>
      </c>
      <c r="AD339" s="282">
        <v>6.9375000000000006E-2</v>
      </c>
      <c r="AE339" s="280">
        <v>9.0090000000000003</v>
      </c>
      <c r="AF339" s="280">
        <v>340</v>
      </c>
    </row>
    <row r="340" spans="24:32">
      <c r="X340" s="280">
        <v>312</v>
      </c>
      <c r="Y340" s="280" t="s">
        <v>1320</v>
      </c>
      <c r="Z340" s="280" t="s">
        <v>1154</v>
      </c>
      <c r="AA340" s="280" t="s">
        <v>232</v>
      </c>
      <c r="AB340" s="280" t="s">
        <v>831</v>
      </c>
      <c r="AC340" s="280">
        <v>0</v>
      </c>
      <c r="AD340" s="282">
        <v>6.9502314814814822E-2</v>
      </c>
      <c r="AE340" s="280">
        <v>8.9930000000000003</v>
      </c>
      <c r="AF340" s="280">
        <v>341</v>
      </c>
    </row>
    <row r="341" spans="24:32" ht="30">
      <c r="X341" s="280">
        <v>417</v>
      </c>
      <c r="Y341" s="280" t="s">
        <v>1321</v>
      </c>
      <c r="Z341" s="280" t="s">
        <v>916</v>
      </c>
      <c r="AA341" s="280" t="s">
        <v>232</v>
      </c>
      <c r="AB341" s="280" t="s">
        <v>769</v>
      </c>
      <c r="AC341" s="280">
        <v>0</v>
      </c>
      <c r="AD341" s="282">
        <v>6.9513888888888889E-2</v>
      </c>
      <c r="AE341" s="280">
        <v>8.9909999999999997</v>
      </c>
      <c r="AF341" s="280">
        <v>342</v>
      </c>
    </row>
    <row r="342" spans="24:32">
      <c r="X342" s="280">
        <v>193</v>
      </c>
      <c r="Y342" s="280" t="s">
        <v>1322</v>
      </c>
      <c r="Z342" s="280" t="s">
        <v>1323</v>
      </c>
      <c r="AA342" s="280" t="s">
        <v>889</v>
      </c>
      <c r="AB342" s="280" t="s">
        <v>769</v>
      </c>
      <c r="AC342" s="280">
        <v>0</v>
      </c>
      <c r="AD342" s="282">
        <v>6.9548611111111117E-2</v>
      </c>
      <c r="AE342" s="280">
        <v>8.9870000000000001</v>
      </c>
      <c r="AF342" s="280">
        <v>343</v>
      </c>
    </row>
    <row r="343" spans="24:32" ht="30">
      <c r="X343" s="280">
        <v>375</v>
      </c>
      <c r="Y343" s="280" t="s">
        <v>1324</v>
      </c>
      <c r="Z343" s="280" t="s">
        <v>1325</v>
      </c>
      <c r="AA343" s="280" t="s">
        <v>889</v>
      </c>
      <c r="AB343" s="280" t="s">
        <v>782</v>
      </c>
      <c r="AC343" s="280" t="s">
        <v>939</v>
      </c>
      <c r="AD343" s="282">
        <v>6.957175925925925E-2</v>
      </c>
      <c r="AE343" s="280">
        <v>8.984</v>
      </c>
      <c r="AF343" s="280">
        <v>344</v>
      </c>
    </row>
    <row r="344" spans="24:32">
      <c r="X344" s="280">
        <v>313</v>
      </c>
      <c r="Y344" s="280" t="s">
        <v>1320</v>
      </c>
      <c r="Z344" s="280" t="s">
        <v>1326</v>
      </c>
      <c r="AA344" s="280" t="s">
        <v>889</v>
      </c>
      <c r="AB344" s="280" t="s">
        <v>831</v>
      </c>
      <c r="AC344" s="280">
        <v>0</v>
      </c>
      <c r="AD344" s="282">
        <v>6.9606481481481478E-2</v>
      </c>
      <c r="AE344" s="280">
        <v>8.9789999999999992</v>
      </c>
      <c r="AF344" s="280">
        <v>345</v>
      </c>
    </row>
    <row r="345" spans="24:32">
      <c r="X345" s="280">
        <v>311</v>
      </c>
      <c r="Y345" s="280" t="s">
        <v>849</v>
      </c>
      <c r="Z345" s="280" t="s">
        <v>1264</v>
      </c>
      <c r="AA345" s="280" t="s">
        <v>889</v>
      </c>
      <c r="AB345" s="280" t="s">
        <v>831</v>
      </c>
      <c r="AC345" s="280">
        <v>0</v>
      </c>
      <c r="AD345" s="282">
        <v>6.9629629629629639E-2</v>
      </c>
      <c r="AE345" s="280">
        <v>8.9760000000000009</v>
      </c>
      <c r="AF345" s="280">
        <v>346</v>
      </c>
    </row>
    <row r="346" spans="24:32">
      <c r="X346" s="280">
        <v>98</v>
      </c>
      <c r="Y346" s="280" t="s">
        <v>1327</v>
      </c>
      <c r="Z346" s="280" t="s">
        <v>1318</v>
      </c>
      <c r="AA346" s="280" t="s">
        <v>232</v>
      </c>
      <c r="AB346" s="280" t="s">
        <v>782</v>
      </c>
      <c r="AC346" s="280">
        <v>0</v>
      </c>
      <c r="AD346" s="282">
        <v>6.9652777777777772E-2</v>
      </c>
      <c r="AE346" s="280">
        <v>8.9730000000000008</v>
      </c>
      <c r="AF346" s="280">
        <v>347</v>
      </c>
    </row>
    <row r="347" spans="24:32">
      <c r="X347" s="280">
        <v>337</v>
      </c>
      <c r="Y347" s="280" t="s">
        <v>1328</v>
      </c>
      <c r="Z347" s="280" t="s">
        <v>1329</v>
      </c>
      <c r="AA347" s="280" t="s">
        <v>889</v>
      </c>
      <c r="AB347" s="280" t="s">
        <v>769</v>
      </c>
      <c r="AC347" s="280" t="s">
        <v>1330</v>
      </c>
      <c r="AD347" s="282">
        <v>6.9675925925925933E-2</v>
      </c>
      <c r="AE347" s="280">
        <v>8.9700000000000006</v>
      </c>
      <c r="AF347" s="280">
        <v>348</v>
      </c>
    </row>
    <row r="348" spans="24:32" ht="30">
      <c r="X348" s="280">
        <v>360</v>
      </c>
      <c r="Y348" s="280" t="s">
        <v>1331</v>
      </c>
      <c r="Z348" s="280" t="s">
        <v>1332</v>
      </c>
      <c r="AA348" s="280" t="s">
        <v>232</v>
      </c>
      <c r="AB348" s="280" t="s">
        <v>782</v>
      </c>
      <c r="AC348" s="280">
        <v>0</v>
      </c>
      <c r="AD348" s="282">
        <v>6.9699074074074066E-2</v>
      </c>
      <c r="AE348" s="280">
        <v>8.9670000000000005</v>
      </c>
      <c r="AF348" s="280">
        <v>349</v>
      </c>
    </row>
    <row r="349" spans="24:32">
      <c r="X349" s="280">
        <v>353</v>
      </c>
      <c r="Y349" s="280" t="s">
        <v>1202</v>
      </c>
      <c r="Z349" s="280" t="s">
        <v>1333</v>
      </c>
      <c r="AA349" s="280" t="s">
        <v>232</v>
      </c>
      <c r="AB349" s="280" t="s">
        <v>782</v>
      </c>
      <c r="AC349" s="280" t="s">
        <v>905</v>
      </c>
      <c r="AD349" s="282">
        <v>6.9733796296296294E-2</v>
      </c>
      <c r="AE349" s="280">
        <v>8.9629999999999992</v>
      </c>
      <c r="AF349" s="280">
        <v>350</v>
      </c>
    </row>
    <row r="350" spans="24:32">
      <c r="X350" s="280">
        <v>376</v>
      </c>
      <c r="Y350" s="280" t="s">
        <v>1334</v>
      </c>
      <c r="Z350" s="280" t="s">
        <v>1335</v>
      </c>
      <c r="AA350" s="280" t="s">
        <v>889</v>
      </c>
      <c r="AB350" s="280" t="s">
        <v>782</v>
      </c>
      <c r="AC350" s="280" t="s">
        <v>939</v>
      </c>
      <c r="AD350" s="282">
        <v>6.9768518518518521E-2</v>
      </c>
      <c r="AE350" s="280">
        <v>8.9580000000000002</v>
      </c>
      <c r="AF350" s="280">
        <v>351</v>
      </c>
    </row>
    <row r="351" spans="24:32">
      <c r="X351" s="280">
        <v>377</v>
      </c>
      <c r="Y351" s="280" t="s">
        <v>1334</v>
      </c>
      <c r="Z351" s="280" t="s">
        <v>1336</v>
      </c>
      <c r="AA351" s="280" t="s">
        <v>232</v>
      </c>
      <c r="AB351" s="280" t="s">
        <v>782</v>
      </c>
      <c r="AC351" s="280">
        <v>0</v>
      </c>
      <c r="AD351" s="282">
        <v>6.9814814814814816E-2</v>
      </c>
      <c r="AE351" s="280">
        <v>8.952</v>
      </c>
      <c r="AF351" s="280">
        <v>352</v>
      </c>
    </row>
    <row r="352" spans="24:32" ht="30">
      <c r="X352" s="280">
        <v>44</v>
      </c>
      <c r="Y352" s="280" t="s">
        <v>1337</v>
      </c>
      <c r="Z352" s="280" t="s">
        <v>1141</v>
      </c>
      <c r="AA352" s="280" t="s">
        <v>232</v>
      </c>
      <c r="AB352" s="280" t="s">
        <v>831</v>
      </c>
      <c r="AC352" s="280" t="s">
        <v>1338</v>
      </c>
      <c r="AD352" s="282">
        <v>6.9837962962962963E-2</v>
      </c>
      <c r="AE352" s="280">
        <v>8.9489999999999998</v>
      </c>
      <c r="AF352" s="280">
        <v>353</v>
      </c>
    </row>
    <row r="353" spans="24:32">
      <c r="X353" s="280">
        <v>71</v>
      </c>
      <c r="Y353" s="280" t="s">
        <v>1339</v>
      </c>
      <c r="Z353" s="280" t="s">
        <v>1340</v>
      </c>
      <c r="AA353" s="280" t="s">
        <v>232</v>
      </c>
      <c r="AB353" s="280" t="s">
        <v>1341</v>
      </c>
      <c r="AC353" s="280" t="s">
        <v>939</v>
      </c>
      <c r="AD353" s="282">
        <v>6.986111111111111E-2</v>
      </c>
      <c r="AE353" s="280">
        <v>8.9459999999999997</v>
      </c>
      <c r="AF353" s="280">
        <v>354</v>
      </c>
    </row>
    <row r="354" spans="24:32">
      <c r="X354" s="280">
        <v>110</v>
      </c>
      <c r="Y354" s="280" t="s">
        <v>1342</v>
      </c>
      <c r="Z354" s="280" t="s">
        <v>1141</v>
      </c>
      <c r="AA354" s="280" t="s">
        <v>232</v>
      </c>
      <c r="AB354" s="280" t="s">
        <v>782</v>
      </c>
      <c r="AC354" s="280">
        <v>0</v>
      </c>
      <c r="AD354" s="282">
        <v>6.9907407407407404E-2</v>
      </c>
      <c r="AE354" s="280">
        <v>8.94</v>
      </c>
      <c r="AF354" s="280">
        <v>355</v>
      </c>
    </row>
    <row r="355" spans="24:32" ht="45">
      <c r="X355" s="280">
        <v>100</v>
      </c>
      <c r="Y355" s="280" t="s">
        <v>1343</v>
      </c>
      <c r="Z355" s="280" t="s">
        <v>972</v>
      </c>
      <c r="AA355" s="280" t="s">
        <v>232</v>
      </c>
      <c r="AB355" s="280" t="s">
        <v>782</v>
      </c>
      <c r="AC355" s="280" t="s">
        <v>1285</v>
      </c>
      <c r="AD355" s="282">
        <v>6.9942129629629632E-2</v>
      </c>
      <c r="AE355" s="280">
        <v>8.9359999999999999</v>
      </c>
      <c r="AF355" s="280">
        <v>356</v>
      </c>
    </row>
    <row r="356" spans="24:32">
      <c r="X356" s="280">
        <v>38</v>
      </c>
      <c r="Y356" s="280" t="s">
        <v>1344</v>
      </c>
      <c r="Z356" s="280" t="s">
        <v>1159</v>
      </c>
      <c r="AA356" s="280" t="s">
        <v>889</v>
      </c>
      <c r="AB356" s="280" t="s">
        <v>769</v>
      </c>
      <c r="AC356" s="280">
        <v>0</v>
      </c>
      <c r="AD356" s="282">
        <v>6.9965277777777779E-2</v>
      </c>
      <c r="AE356" s="280">
        <v>8.9329999999999998</v>
      </c>
      <c r="AF356" s="280">
        <v>357</v>
      </c>
    </row>
    <row r="357" spans="24:32">
      <c r="X357" s="280">
        <v>213</v>
      </c>
      <c r="Y357" s="280" t="s">
        <v>1263</v>
      </c>
      <c r="Z357" s="280" t="s">
        <v>1345</v>
      </c>
      <c r="AA357" s="280" t="s">
        <v>889</v>
      </c>
      <c r="AB357" s="280" t="s">
        <v>831</v>
      </c>
      <c r="AC357" s="280">
        <v>0</v>
      </c>
      <c r="AD357" s="282">
        <v>6.997685185185186E-2</v>
      </c>
      <c r="AE357" s="280">
        <v>8.9320000000000004</v>
      </c>
      <c r="AF357" s="280">
        <v>358</v>
      </c>
    </row>
    <row r="358" spans="24:32">
      <c r="X358" s="280">
        <v>212</v>
      </c>
      <c r="Y358" s="280" t="s">
        <v>1346</v>
      </c>
      <c r="Z358" s="280" t="s">
        <v>1347</v>
      </c>
      <c r="AA358" s="280" t="s">
        <v>889</v>
      </c>
      <c r="AB358" s="280" t="s">
        <v>769</v>
      </c>
      <c r="AC358" s="280">
        <v>0</v>
      </c>
      <c r="AD358" s="282">
        <v>6.9999999999999993E-2</v>
      </c>
      <c r="AE358" s="280">
        <v>8.9290000000000003</v>
      </c>
      <c r="AF358" s="280">
        <v>359</v>
      </c>
    </row>
    <row r="359" spans="24:32">
      <c r="X359" s="280">
        <v>459</v>
      </c>
      <c r="Y359" s="280" t="s">
        <v>1348</v>
      </c>
      <c r="Z359" s="280" t="s">
        <v>807</v>
      </c>
      <c r="AA359" s="280" t="s">
        <v>232</v>
      </c>
      <c r="AB359" s="280" t="s">
        <v>782</v>
      </c>
      <c r="AC359" s="280">
        <v>0</v>
      </c>
      <c r="AD359" s="282">
        <v>7.0023148148148154E-2</v>
      </c>
      <c r="AE359" s="280">
        <v>8.9260000000000002</v>
      </c>
      <c r="AF359" s="280">
        <v>360</v>
      </c>
    </row>
    <row r="360" spans="24:32">
      <c r="X360" s="280">
        <v>315</v>
      </c>
      <c r="Y360" s="280" t="s">
        <v>1349</v>
      </c>
      <c r="Z360" s="280" t="s">
        <v>1244</v>
      </c>
      <c r="AA360" s="280" t="s">
        <v>889</v>
      </c>
      <c r="AB360" s="280" t="s">
        <v>769</v>
      </c>
      <c r="AC360" s="280" t="s">
        <v>870</v>
      </c>
      <c r="AD360" s="282">
        <v>7.0069444444444448E-2</v>
      </c>
      <c r="AE360" s="280">
        <v>8.92</v>
      </c>
      <c r="AF360" s="280">
        <v>361</v>
      </c>
    </row>
    <row r="361" spans="24:32">
      <c r="X361" s="280">
        <v>320</v>
      </c>
      <c r="Y361" s="280" t="s">
        <v>1350</v>
      </c>
      <c r="Z361" s="280" t="s">
        <v>802</v>
      </c>
      <c r="AA361" s="280" t="s">
        <v>232</v>
      </c>
      <c r="AB361" s="280" t="s">
        <v>831</v>
      </c>
      <c r="AC361" s="280" t="s">
        <v>967</v>
      </c>
      <c r="AD361" s="282">
        <v>7.0150462962962956E-2</v>
      </c>
      <c r="AE361" s="280">
        <v>8.9090000000000007</v>
      </c>
      <c r="AF361" s="280">
        <v>362</v>
      </c>
    </row>
    <row r="362" spans="24:32">
      <c r="X362" s="280">
        <v>357</v>
      </c>
      <c r="Y362" s="280" t="s">
        <v>1013</v>
      </c>
      <c r="Z362" s="280" t="s">
        <v>853</v>
      </c>
      <c r="AA362" s="280" t="s">
        <v>232</v>
      </c>
      <c r="AB362" s="280" t="s">
        <v>769</v>
      </c>
      <c r="AC362" s="280">
        <v>0</v>
      </c>
      <c r="AD362" s="282">
        <v>7.0196759259259264E-2</v>
      </c>
      <c r="AE362" s="280">
        <v>8.9039999999999999</v>
      </c>
      <c r="AF362" s="280">
        <v>363</v>
      </c>
    </row>
    <row r="363" spans="24:32" ht="30">
      <c r="X363" s="280">
        <v>300</v>
      </c>
      <c r="Y363" s="280" t="s">
        <v>1351</v>
      </c>
      <c r="Z363" s="280" t="s">
        <v>969</v>
      </c>
      <c r="AA363" s="280" t="s">
        <v>232</v>
      </c>
      <c r="AB363" s="280" t="s">
        <v>831</v>
      </c>
      <c r="AC363" s="280">
        <v>0</v>
      </c>
      <c r="AD363" s="282">
        <v>7.0219907407407411E-2</v>
      </c>
      <c r="AE363" s="280">
        <v>8.9009999999999998</v>
      </c>
      <c r="AF363" s="280">
        <v>364</v>
      </c>
    </row>
    <row r="364" spans="24:32">
      <c r="X364" s="280">
        <v>42</v>
      </c>
      <c r="Y364" s="280" t="s">
        <v>1352</v>
      </c>
      <c r="Z364" s="280" t="s">
        <v>1353</v>
      </c>
      <c r="AA364" s="280" t="s">
        <v>889</v>
      </c>
      <c r="AB364" s="280" t="s">
        <v>769</v>
      </c>
      <c r="AC364" s="280">
        <v>0</v>
      </c>
      <c r="AD364" s="282">
        <v>7.0358796296296308E-2</v>
      </c>
      <c r="AE364" s="280">
        <v>8.8829999999999991</v>
      </c>
      <c r="AF364" s="280">
        <v>365</v>
      </c>
    </row>
    <row r="365" spans="24:32">
      <c r="X365" s="280">
        <v>43</v>
      </c>
      <c r="Y365" s="280" t="s">
        <v>1352</v>
      </c>
      <c r="Z365" s="280" t="s">
        <v>1347</v>
      </c>
      <c r="AA365" s="280" t="s">
        <v>889</v>
      </c>
      <c r="AB365" s="280" t="s">
        <v>769</v>
      </c>
      <c r="AC365" s="280">
        <v>0</v>
      </c>
      <c r="AD365" s="282">
        <v>7.0370370370370375E-2</v>
      </c>
      <c r="AE365" s="280">
        <v>8.8819999999999997</v>
      </c>
      <c r="AF365" s="280">
        <v>366</v>
      </c>
    </row>
    <row r="366" spans="24:32" ht="30">
      <c r="X366" s="280">
        <v>122</v>
      </c>
      <c r="Y366" s="280" t="s">
        <v>1093</v>
      </c>
      <c r="Z366" s="280" t="s">
        <v>875</v>
      </c>
      <c r="AA366" s="280" t="s">
        <v>232</v>
      </c>
      <c r="AB366" s="280" t="s">
        <v>782</v>
      </c>
      <c r="AC366" s="280" t="s">
        <v>1050</v>
      </c>
      <c r="AD366" s="282">
        <v>7.0405092592592589E-2</v>
      </c>
      <c r="AE366" s="280">
        <v>8.8770000000000007</v>
      </c>
      <c r="AF366" s="280">
        <v>367</v>
      </c>
    </row>
    <row r="367" spans="24:32">
      <c r="X367" s="280">
        <v>2</v>
      </c>
      <c r="Y367" s="280" t="s">
        <v>1354</v>
      </c>
      <c r="Z367" s="280" t="s">
        <v>1355</v>
      </c>
      <c r="AA367" s="280" t="s">
        <v>232</v>
      </c>
      <c r="AB367" s="280" t="s">
        <v>769</v>
      </c>
      <c r="AC367" s="280">
        <v>0</v>
      </c>
      <c r="AD367" s="282">
        <v>7.0451388888888897E-2</v>
      </c>
      <c r="AE367" s="280">
        <v>8.8710000000000004</v>
      </c>
      <c r="AF367" s="280">
        <v>368</v>
      </c>
    </row>
    <row r="368" spans="24:32">
      <c r="X368" s="280">
        <v>294</v>
      </c>
      <c r="Y368" s="280" t="s">
        <v>1356</v>
      </c>
      <c r="Z368" s="280" t="s">
        <v>1030</v>
      </c>
      <c r="AA368" s="280" t="s">
        <v>232</v>
      </c>
      <c r="AB368" s="280" t="s">
        <v>831</v>
      </c>
      <c r="AC368" s="280">
        <v>0</v>
      </c>
      <c r="AD368" s="282">
        <v>7.0509259259259258E-2</v>
      </c>
      <c r="AE368" s="280">
        <v>8.8640000000000008</v>
      </c>
      <c r="AF368" s="280">
        <v>369</v>
      </c>
    </row>
    <row r="369" spans="24:32" ht="30">
      <c r="X369" s="280">
        <v>19</v>
      </c>
      <c r="Y369" s="280" t="s">
        <v>1357</v>
      </c>
      <c r="Z369" s="280" t="s">
        <v>1358</v>
      </c>
      <c r="AA369" s="280" t="s">
        <v>889</v>
      </c>
      <c r="AB369" s="280" t="s">
        <v>769</v>
      </c>
      <c r="AC369" s="280">
        <v>0</v>
      </c>
      <c r="AD369" s="282">
        <v>7.0543981481481485E-2</v>
      </c>
      <c r="AE369" s="280">
        <v>8.86</v>
      </c>
      <c r="AF369" s="280">
        <v>370</v>
      </c>
    </row>
    <row r="370" spans="24:32" ht="30">
      <c r="X370" s="280">
        <v>256</v>
      </c>
      <c r="Y370" s="280" t="s">
        <v>1031</v>
      </c>
      <c r="Z370" s="280" t="s">
        <v>1359</v>
      </c>
      <c r="AA370" s="280" t="s">
        <v>889</v>
      </c>
      <c r="AB370" s="280" t="s">
        <v>769</v>
      </c>
      <c r="AC370" s="280">
        <v>0</v>
      </c>
      <c r="AD370" s="282">
        <v>7.0729166666666662E-2</v>
      </c>
      <c r="AE370" s="280">
        <v>8.8369999999999997</v>
      </c>
      <c r="AF370" s="280">
        <v>371</v>
      </c>
    </row>
    <row r="371" spans="24:32">
      <c r="X371" s="280">
        <v>162</v>
      </c>
      <c r="Y371" s="280" t="s">
        <v>1360</v>
      </c>
      <c r="Z371" s="280" t="s">
        <v>1056</v>
      </c>
      <c r="AA371" s="280" t="s">
        <v>889</v>
      </c>
      <c r="AB371" s="280" t="s">
        <v>782</v>
      </c>
      <c r="AC371" s="280">
        <v>0</v>
      </c>
      <c r="AD371" s="282">
        <v>7.076388888888889E-2</v>
      </c>
      <c r="AE371" s="280">
        <v>8.8320000000000007</v>
      </c>
      <c r="AF371" s="280">
        <v>372</v>
      </c>
    </row>
    <row r="372" spans="24:32">
      <c r="X372" s="280">
        <v>264</v>
      </c>
      <c r="Y372" s="280" t="s">
        <v>1361</v>
      </c>
      <c r="Z372" s="280" t="s">
        <v>1362</v>
      </c>
      <c r="AA372" s="280" t="s">
        <v>232</v>
      </c>
      <c r="AB372" s="280" t="s">
        <v>1078</v>
      </c>
      <c r="AC372" s="280">
        <v>0</v>
      </c>
      <c r="AD372" s="282">
        <v>7.0787037037037037E-2</v>
      </c>
      <c r="AE372" s="280">
        <v>8.8290000000000006</v>
      </c>
      <c r="AF372" s="280">
        <v>373</v>
      </c>
    </row>
    <row r="373" spans="24:32">
      <c r="X373" s="280">
        <v>452</v>
      </c>
      <c r="Y373" s="280" t="s">
        <v>1363</v>
      </c>
      <c r="Z373" s="280" t="s">
        <v>912</v>
      </c>
      <c r="AA373" s="280" t="s">
        <v>232</v>
      </c>
      <c r="AB373" s="280" t="s">
        <v>769</v>
      </c>
      <c r="AC373" s="280">
        <v>0</v>
      </c>
      <c r="AD373" s="282">
        <v>7.0821759259259265E-2</v>
      </c>
      <c r="AE373" s="280">
        <v>8.8249999999999993</v>
      </c>
      <c r="AF373" s="280">
        <v>374</v>
      </c>
    </row>
    <row r="374" spans="24:32" ht="30">
      <c r="X374" s="280">
        <v>305</v>
      </c>
      <c r="Y374" s="280" t="s">
        <v>1364</v>
      </c>
      <c r="Z374" s="280" t="s">
        <v>927</v>
      </c>
      <c r="AA374" s="280" t="s">
        <v>232</v>
      </c>
      <c r="AB374" s="280" t="s">
        <v>782</v>
      </c>
      <c r="AC374" s="280" t="s">
        <v>790</v>
      </c>
      <c r="AD374" s="282">
        <v>7.0844907407407412E-2</v>
      </c>
      <c r="AE374" s="280">
        <v>8.8219999999999992</v>
      </c>
      <c r="AF374" s="280">
        <v>375</v>
      </c>
    </row>
    <row r="375" spans="24:32" ht="30">
      <c r="X375" s="280">
        <v>338</v>
      </c>
      <c r="Y375" s="280" t="s">
        <v>1365</v>
      </c>
      <c r="Z375" s="280" t="s">
        <v>1366</v>
      </c>
      <c r="AA375" s="280" t="s">
        <v>889</v>
      </c>
      <c r="AB375" s="280" t="s">
        <v>769</v>
      </c>
      <c r="AC375" s="280">
        <v>0</v>
      </c>
      <c r="AD375" s="282">
        <v>7.0879629629629626E-2</v>
      </c>
      <c r="AE375" s="280">
        <v>8.8179999999999996</v>
      </c>
      <c r="AF375" s="280">
        <v>376</v>
      </c>
    </row>
    <row r="376" spans="24:32">
      <c r="X376" s="280">
        <v>450</v>
      </c>
      <c r="Y376" s="280" t="s">
        <v>1367</v>
      </c>
      <c r="Z376" s="280" t="s">
        <v>1237</v>
      </c>
      <c r="AA376" s="280" t="s">
        <v>889</v>
      </c>
      <c r="AB376" s="280" t="s">
        <v>769</v>
      </c>
      <c r="AC376" s="280">
        <v>0</v>
      </c>
      <c r="AD376" s="282">
        <v>7.0972222222222228E-2</v>
      </c>
      <c r="AE376" s="280">
        <v>8.8059999999999992</v>
      </c>
      <c r="AF376" s="280">
        <v>377</v>
      </c>
    </row>
    <row r="377" spans="24:32" ht="60">
      <c r="X377" s="280">
        <v>497</v>
      </c>
      <c r="Y377" s="280" t="s">
        <v>1368</v>
      </c>
      <c r="Z377" s="280" t="s">
        <v>1369</v>
      </c>
      <c r="AA377" s="280" t="s">
        <v>889</v>
      </c>
      <c r="AB377" s="280" t="s">
        <v>769</v>
      </c>
      <c r="AC377" s="280" t="s">
        <v>1370</v>
      </c>
      <c r="AD377" s="282">
        <v>7.1006944444444442E-2</v>
      </c>
      <c r="AE377" s="280">
        <v>8.8019999999999996</v>
      </c>
      <c r="AF377" s="280">
        <v>378</v>
      </c>
    </row>
    <row r="378" spans="24:32" ht="45">
      <c r="X378" s="280">
        <v>136</v>
      </c>
      <c r="Y378" s="280" t="s">
        <v>992</v>
      </c>
      <c r="Z378" s="280" t="s">
        <v>1371</v>
      </c>
      <c r="AA378" s="280" t="s">
        <v>889</v>
      </c>
      <c r="AB378" s="280" t="s">
        <v>819</v>
      </c>
      <c r="AC378" s="280" t="s">
        <v>962</v>
      </c>
      <c r="AD378" s="282">
        <v>7.1064814814814817E-2</v>
      </c>
      <c r="AE378" s="280">
        <v>8.7949999999999999</v>
      </c>
      <c r="AF378" s="280">
        <v>379</v>
      </c>
    </row>
    <row r="379" spans="24:32">
      <c r="X379" s="280">
        <v>427</v>
      </c>
      <c r="Y379" s="280" t="s">
        <v>1372</v>
      </c>
      <c r="Z379" s="280" t="s">
        <v>904</v>
      </c>
      <c r="AA379" s="280" t="s">
        <v>232</v>
      </c>
      <c r="AB379" s="280" t="s">
        <v>782</v>
      </c>
      <c r="AC379" s="280">
        <v>0</v>
      </c>
      <c r="AD379" s="282">
        <v>7.1122685185185178E-2</v>
      </c>
      <c r="AE379" s="280">
        <v>8.7880000000000003</v>
      </c>
      <c r="AF379" s="280">
        <v>380</v>
      </c>
    </row>
    <row r="380" spans="24:32" ht="30">
      <c r="X380" s="280">
        <v>190</v>
      </c>
      <c r="Y380" s="280" t="s">
        <v>1373</v>
      </c>
      <c r="Z380" s="280" t="s">
        <v>1064</v>
      </c>
      <c r="AA380" s="280" t="s">
        <v>232</v>
      </c>
      <c r="AB380" s="280" t="s">
        <v>782</v>
      </c>
      <c r="AC380" s="280" t="s">
        <v>1309</v>
      </c>
      <c r="AD380" s="282">
        <v>7.1192129629629633E-2</v>
      </c>
      <c r="AE380" s="280">
        <v>8.7789999999999999</v>
      </c>
      <c r="AF380" s="280">
        <v>381</v>
      </c>
    </row>
    <row r="381" spans="24:32">
      <c r="X381" s="280">
        <v>273</v>
      </c>
      <c r="Y381" s="280" t="s">
        <v>1374</v>
      </c>
      <c r="Z381" s="280" t="s">
        <v>1375</v>
      </c>
      <c r="AA381" s="280" t="s">
        <v>232</v>
      </c>
      <c r="AB381" s="280" t="s">
        <v>782</v>
      </c>
      <c r="AC381" s="280">
        <v>0</v>
      </c>
      <c r="AD381" s="282">
        <v>7.1226851851851861E-2</v>
      </c>
      <c r="AE381" s="280">
        <v>8.7750000000000004</v>
      </c>
      <c r="AF381" s="280">
        <v>382</v>
      </c>
    </row>
    <row r="382" spans="24:32">
      <c r="X382" s="280">
        <v>26</v>
      </c>
      <c r="Y382" s="280" t="s">
        <v>1376</v>
      </c>
      <c r="Z382" s="280" t="s">
        <v>1154</v>
      </c>
      <c r="AA382" s="280" t="s">
        <v>232</v>
      </c>
      <c r="AB382" s="280" t="s">
        <v>1078</v>
      </c>
      <c r="AC382" s="280">
        <v>0</v>
      </c>
      <c r="AD382" s="282">
        <v>7.1458333333333332E-2</v>
      </c>
      <c r="AE382" s="280">
        <v>8.7460000000000004</v>
      </c>
      <c r="AF382" s="280">
        <v>383</v>
      </c>
    </row>
    <row r="383" spans="24:32" ht="30">
      <c r="X383" s="280">
        <v>438</v>
      </c>
      <c r="Y383" s="280" t="s">
        <v>1377</v>
      </c>
      <c r="Z383" s="280" t="s">
        <v>1378</v>
      </c>
      <c r="AA383" s="280" t="s">
        <v>889</v>
      </c>
      <c r="AB383" s="280" t="s">
        <v>819</v>
      </c>
      <c r="AC383" s="280" t="s">
        <v>1379</v>
      </c>
      <c r="AD383" s="282">
        <v>7.1574074074074082E-2</v>
      </c>
      <c r="AE383" s="280">
        <v>8.7319999999999993</v>
      </c>
      <c r="AF383" s="280">
        <v>384</v>
      </c>
    </row>
    <row r="384" spans="24:32" ht="30">
      <c r="X384" s="280">
        <v>246</v>
      </c>
      <c r="Y384" s="280" t="s">
        <v>1380</v>
      </c>
      <c r="Z384" s="280" t="s">
        <v>1381</v>
      </c>
      <c r="AA384" s="280" t="s">
        <v>232</v>
      </c>
      <c r="AB384" s="280" t="s">
        <v>831</v>
      </c>
      <c r="AC384" s="280" t="s">
        <v>948</v>
      </c>
      <c r="AD384" s="282">
        <v>7.1689814814814817E-2</v>
      </c>
      <c r="AE384" s="280">
        <v>8.718</v>
      </c>
      <c r="AF384" s="280">
        <v>385</v>
      </c>
    </row>
    <row r="385" spans="24:32">
      <c r="X385" s="280">
        <v>310</v>
      </c>
      <c r="Y385" s="280" t="s">
        <v>1382</v>
      </c>
      <c r="Z385" s="280" t="s">
        <v>947</v>
      </c>
      <c r="AA385" s="280" t="s">
        <v>232</v>
      </c>
      <c r="AB385" s="280" t="s">
        <v>831</v>
      </c>
      <c r="AC385" s="280">
        <v>0</v>
      </c>
      <c r="AD385" s="282">
        <v>7.1759259259259259E-2</v>
      </c>
      <c r="AE385" s="280">
        <v>8.7100000000000009</v>
      </c>
      <c r="AF385" s="280">
        <v>386</v>
      </c>
    </row>
    <row r="386" spans="24:32" ht="45">
      <c r="X386" s="280">
        <v>342</v>
      </c>
      <c r="Y386" s="280" t="s">
        <v>1383</v>
      </c>
      <c r="Z386" s="280" t="s">
        <v>1384</v>
      </c>
      <c r="AA386" s="280" t="s">
        <v>232</v>
      </c>
      <c r="AB386" s="280" t="s">
        <v>819</v>
      </c>
      <c r="AC386" s="280" t="s">
        <v>962</v>
      </c>
      <c r="AD386" s="282">
        <v>7.1782407407407406E-2</v>
      </c>
      <c r="AE386" s="280">
        <v>8.7070000000000007</v>
      </c>
      <c r="AF386" s="280">
        <v>387</v>
      </c>
    </row>
    <row r="387" spans="24:32" ht="45">
      <c r="X387" s="280">
        <v>125</v>
      </c>
      <c r="Y387" s="280" t="s">
        <v>1385</v>
      </c>
      <c r="Z387" s="280" t="s">
        <v>1386</v>
      </c>
      <c r="AA387" s="280" t="s">
        <v>232</v>
      </c>
      <c r="AB387" s="280" t="s">
        <v>831</v>
      </c>
      <c r="AC387" s="280" t="s">
        <v>1387</v>
      </c>
      <c r="AD387" s="282">
        <v>7.1805555555555553E-2</v>
      </c>
      <c r="AE387" s="280">
        <v>8.7040000000000006</v>
      </c>
      <c r="AF387" s="280">
        <v>388</v>
      </c>
    </row>
    <row r="388" spans="24:32">
      <c r="X388" s="280">
        <v>77</v>
      </c>
      <c r="Y388" s="280" t="s">
        <v>1023</v>
      </c>
      <c r="Z388" s="280" t="s">
        <v>1388</v>
      </c>
      <c r="AA388" s="280" t="s">
        <v>889</v>
      </c>
      <c r="AB388" s="280" t="s">
        <v>782</v>
      </c>
      <c r="AC388" s="280">
        <v>0</v>
      </c>
      <c r="AD388" s="282">
        <v>7.2048611111111105E-2</v>
      </c>
      <c r="AE388" s="280">
        <v>8.6750000000000007</v>
      </c>
      <c r="AF388" s="280">
        <v>389</v>
      </c>
    </row>
    <row r="389" spans="24:32">
      <c r="X389" s="280">
        <v>208</v>
      </c>
      <c r="Y389" s="280" t="s">
        <v>1389</v>
      </c>
      <c r="Z389" s="280" t="s">
        <v>774</v>
      </c>
      <c r="AA389" s="280" t="s">
        <v>889</v>
      </c>
      <c r="AB389" s="280" t="s">
        <v>769</v>
      </c>
      <c r="AC389" s="280">
        <v>0</v>
      </c>
      <c r="AD389" s="282">
        <v>7.2187500000000002E-2</v>
      </c>
      <c r="AE389" s="280">
        <v>8.6579999999999995</v>
      </c>
      <c r="AF389" s="280">
        <v>390</v>
      </c>
    </row>
    <row r="390" spans="24:32">
      <c r="X390" s="280">
        <v>175</v>
      </c>
      <c r="Y390" s="280" t="s">
        <v>1390</v>
      </c>
      <c r="Z390" s="280" t="s">
        <v>853</v>
      </c>
      <c r="AA390" s="280" t="s">
        <v>232</v>
      </c>
      <c r="AB390" s="280" t="s">
        <v>769</v>
      </c>
      <c r="AC390" s="280">
        <v>0</v>
      </c>
      <c r="AD390" s="282">
        <v>7.2314814814814818E-2</v>
      </c>
      <c r="AE390" s="280">
        <v>8.6430000000000007</v>
      </c>
      <c r="AF390" s="280">
        <v>391</v>
      </c>
    </row>
    <row r="391" spans="24:32" ht="30">
      <c r="X391" s="280">
        <v>178</v>
      </c>
      <c r="Y391" s="280" t="s">
        <v>1246</v>
      </c>
      <c r="Z391" s="280" t="s">
        <v>1127</v>
      </c>
      <c r="AA391" s="280" t="s">
        <v>889</v>
      </c>
      <c r="AB391" s="280" t="s">
        <v>831</v>
      </c>
      <c r="AC391" s="280" t="s">
        <v>939</v>
      </c>
      <c r="AD391" s="282">
        <v>7.2384259259259259E-2</v>
      </c>
      <c r="AE391" s="280">
        <v>8.6340000000000003</v>
      </c>
      <c r="AF391" s="280">
        <v>392</v>
      </c>
    </row>
    <row r="392" spans="24:32">
      <c r="X392" s="280">
        <v>276</v>
      </c>
      <c r="Y392" s="280" t="s">
        <v>1391</v>
      </c>
      <c r="Z392" s="280" t="s">
        <v>1219</v>
      </c>
      <c r="AA392" s="280" t="s">
        <v>889</v>
      </c>
      <c r="AB392" s="280" t="s">
        <v>782</v>
      </c>
      <c r="AC392" s="280">
        <v>0</v>
      </c>
      <c r="AD392" s="282">
        <v>7.2534722222222223E-2</v>
      </c>
      <c r="AE392" s="280">
        <v>8.6170000000000009</v>
      </c>
      <c r="AF392" s="280">
        <v>393</v>
      </c>
    </row>
    <row r="393" spans="24:32" ht="30">
      <c r="X393" s="280">
        <v>229</v>
      </c>
      <c r="Y393" s="280" t="s">
        <v>1187</v>
      </c>
      <c r="Z393" s="280" t="s">
        <v>1392</v>
      </c>
      <c r="AA393" s="280" t="s">
        <v>889</v>
      </c>
      <c r="AB393" s="280" t="s">
        <v>769</v>
      </c>
      <c r="AC393" s="280">
        <v>0</v>
      </c>
      <c r="AD393" s="282">
        <v>7.2615740740740745E-2</v>
      </c>
      <c r="AE393" s="280">
        <v>8.6069999999999993</v>
      </c>
      <c r="AF393" s="280">
        <v>394</v>
      </c>
    </row>
    <row r="394" spans="24:32">
      <c r="X394" s="280">
        <v>143</v>
      </c>
      <c r="Y394" s="280" t="s">
        <v>1393</v>
      </c>
      <c r="Z394" s="280" t="s">
        <v>927</v>
      </c>
      <c r="AA394" s="280" t="s">
        <v>232</v>
      </c>
      <c r="AB394" s="280" t="s">
        <v>782</v>
      </c>
      <c r="AC394" s="280">
        <v>0</v>
      </c>
      <c r="AD394" s="282">
        <v>7.2638888888888892E-2</v>
      </c>
      <c r="AE394" s="280">
        <v>8.6039999999999992</v>
      </c>
      <c r="AF394" s="280">
        <v>395</v>
      </c>
    </row>
    <row r="395" spans="24:32">
      <c r="X395" s="280">
        <v>319</v>
      </c>
      <c r="Y395" s="280" t="s">
        <v>1394</v>
      </c>
      <c r="Z395" s="280" t="s">
        <v>1077</v>
      </c>
      <c r="AA395" s="280" t="s">
        <v>232</v>
      </c>
      <c r="AB395" s="280" t="s">
        <v>782</v>
      </c>
      <c r="AC395" s="280">
        <v>0</v>
      </c>
      <c r="AD395" s="282">
        <v>7.273148148148148E-2</v>
      </c>
      <c r="AE395" s="280">
        <v>8.593</v>
      </c>
      <c r="AF395" s="280">
        <v>396</v>
      </c>
    </row>
    <row r="396" spans="24:32">
      <c r="X396" s="280">
        <v>56</v>
      </c>
      <c r="Y396" s="280" t="s">
        <v>1395</v>
      </c>
      <c r="Z396" s="280" t="s">
        <v>861</v>
      </c>
      <c r="AA396" s="280" t="s">
        <v>232</v>
      </c>
      <c r="AB396" s="280" t="s">
        <v>782</v>
      </c>
      <c r="AC396" s="280" t="s">
        <v>1057</v>
      </c>
      <c r="AD396" s="282">
        <v>7.2881944444444444E-2</v>
      </c>
      <c r="AE396" s="280">
        <v>8.5760000000000005</v>
      </c>
      <c r="AF396" s="280">
        <v>397</v>
      </c>
    </row>
    <row r="397" spans="24:32">
      <c r="X397" s="280">
        <v>333</v>
      </c>
      <c r="Y397" s="280" t="s">
        <v>1396</v>
      </c>
      <c r="Z397" s="280" t="s">
        <v>1353</v>
      </c>
      <c r="AA397" s="280" t="s">
        <v>889</v>
      </c>
      <c r="AB397" s="280" t="s">
        <v>769</v>
      </c>
      <c r="AC397" s="280">
        <v>0</v>
      </c>
      <c r="AD397" s="282">
        <v>7.2916666666666671E-2</v>
      </c>
      <c r="AE397" s="280">
        <v>8.5709999999999997</v>
      </c>
      <c r="AF397" s="280">
        <v>398</v>
      </c>
    </row>
    <row r="398" spans="24:32">
      <c r="X398" s="280">
        <v>181</v>
      </c>
      <c r="Y398" s="280" t="s">
        <v>1397</v>
      </c>
      <c r="Z398" s="280" t="s">
        <v>774</v>
      </c>
      <c r="AA398" s="280" t="s">
        <v>232</v>
      </c>
      <c r="AB398" s="280" t="s">
        <v>769</v>
      </c>
      <c r="AC398" s="280">
        <v>0</v>
      </c>
      <c r="AD398" s="282">
        <v>7.2986111111111113E-2</v>
      </c>
      <c r="AE398" s="280">
        <v>8.5630000000000006</v>
      </c>
      <c r="AF398" s="280">
        <v>399</v>
      </c>
    </row>
    <row r="399" spans="24:32" ht="60">
      <c r="X399" s="280">
        <v>148</v>
      </c>
      <c r="Y399" s="280" t="s">
        <v>1189</v>
      </c>
      <c r="Z399" s="280" t="s">
        <v>1284</v>
      </c>
      <c r="AA399" s="280" t="s">
        <v>889</v>
      </c>
      <c r="AB399" s="280" t="s">
        <v>782</v>
      </c>
      <c r="AC399" s="280" t="s">
        <v>1164</v>
      </c>
      <c r="AD399" s="282">
        <v>7.3020833333333326E-2</v>
      </c>
      <c r="AE399" s="280">
        <v>8.5589999999999993</v>
      </c>
      <c r="AF399" s="280">
        <v>400</v>
      </c>
    </row>
    <row r="400" spans="24:32" ht="30">
      <c r="X400" s="280">
        <v>282</v>
      </c>
      <c r="Y400" s="280" t="s">
        <v>1398</v>
      </c>
      <c r="Z400" s="280" t="s">
        <v>848</v>
      </c>
      <c r="AA400" s="280" t="s">
        <v>232</v>
      </c>
      <c r="AB400" s="280" t="s">
        <v>769</v>
      </c>
      <c r="AC400" s="280">
        <v>0</v>
      </c>
      <c r="AD400" s="282">
        <v>7.3229166666666665E-2</v>
      </c>
      <c r="AE400" s="280">
        <v>8.5350000000000001</v>
      </c>
      <c r="AF400" s="280">
        <v>401</v>
      </c>
    </row>
    <row r="401" spans="24:32" ht="30">
      <c r="X401" s="280">
        <v>248</v>
      </c>
      <c r="Y401" s="280" t="s">
        <v>1399</v>
      </c>
      <c r="Z401" s="280" t="s">
        <v>1400</v>
      </c>
      <c r="AA401" s="280" t="s">
        <v>889</v>
      </c>
      <c r="AB401" s="280"/>
      <c r="AC401" s="280">
        <v>0</v>
      </c>
      <c r="AD401" s="282">
        <v>7.3460648148148136E-2</v>
      </c>
      <c r="AE401" s="280">
        <v>8.5079999999999991</v>
      </c>
      <c r="AF401" s="280">
        <v>402</v>
      </c>
    </row>
    <row r="402" spans="24:32">
      <c r="X402" s="280">
        <v>249</v>
      </c>
      <c r="Y402" s="280" t="s">
        <v>1401</v>
      </c>
      <c r="Z402" s="280" t="s">
        <v>1064</v>
      </c>
      <c r="AA402" s="280" t="s">
        <v>232</v>
      </c>
      <c r="AB402" s="280" t="s">
        <v>1078</v>
      </c>
      <c r="AC402" s="280">
        <v>0</v>
      </c>
      <c r="AD402" s="282">
        <v>7.3483796296296297E-2</v>
      </c>
      <c r="AE402" s="280">
        <v>8.5050000000000008</v>
      </c>
      <c r="AF402" s="280">
        <v>403</v>
      </c>
    </row>
    <row r="403" spans="24:32">
      <c r="X403" s="280">
        <v>210</v>
      </c>
      <c r="Y403" s="280" t="s">
        <v>1402</v>
      </c>
      <c r="Z403" s="280" t="s">
        <v>1403</v>
      </c>
      <c r="AA403" s="280" t="s">
        <v>889</v>
      </c>
      <c r="AB403" s="280" t="s">
        <v>782</v>
      </c>
      <c r="AC403" s="280">
        <v>0</v>
      </c>
      <c r="AD403" s="282">
        <v>7.3495370370370364E-2</v>
      </c>
      <c r="AE403" s="280">
        <v>8.5039999999999996</v>
      </c>
      <c r="AF403" s="280">
        <v>404</v>
      </c>
    </row>
    <row r="404" spans="24:32">
      <c r="X404" s="280">
        <v>349</v>
      </c>
      <c r="Y404" s="280" t="s">
        <v>1404</v>
      </c>
      <c r="Z404" s="280" t="s">
        <v>1302</v>
      </c>
      <c r="AA404" s="280" t="s">
        <v>889</v>
      </c>
      <c r="AB404" s="280" t="s">
        <v>782</v>
      </c>
      <c r="AC404" s="280">
        <v>0</v>
      </c>
      <c r="AD404" s="282">
        <v>7.3553240740740738E-2</v>
      </c>
      <c r="AE404" s="280">
        <v>8.4969999999999999</v>
      </c>
      <c r="AF404" s="280">
        <v>405</v>
      </c>
    </row>
    <row r="405" spans="24:32">
      <c r="X405" s="280">
        <v>200</v>
      </c>
      <c r="Y405" s="280" t="s">
        <v>1404</v>
      </c>
      <c r="Z405" s="280" t="s">
        <v>1405</v>
      </c>
      <c r="AA405" s="280" t="s">
        <v>232</v>
      </c>
      <c r="AB405" s="280" t="s">
        <v>782</v>
      </c>
      <c r="AC405" s="280">
        <v>0</v>
      </c>
      <c r="AD405" s="282">
        <v>7.362268518518518E-2</v>
      </c>
      <c r="AE405" s="280">
        <v>8.4890000000000008</v>
      </c>
      <c r="AF405" s="280">
        <v>406</v>
      </c>
    </row>
    <row r="406" spans="24:32" ht="30">
      <c r="X406" s="280">
        <v>241</v>
      </c>
      <c r="Y406" s="280" t="s">
        <v>1406</v>
      </c>
      <c r="Z406" s="280" t="s">
        <v>1177</v>
      </c>
      <c r="AA406" s="280" t="s">
        <v>232</v>
      </c>
      <c r="AB406" s="280" t="s">
        <v>831</v>
      </c>
      <c r="AC406" s="280" t="s">
        <v>948</v>
      </c>
      <c r="AD406" s="282">
        <v>7.3680555555555555E-2</v>
      </c>
      <c r="AE406" s="280">
        <v>8.4830000000000005</v>
      </c>
      <c r="AF406" s="280">
        <v>407</v>
      </c>
    </row>
    <row r="407" spans="24:32" ht="30">
      <c r="X407" s="280">
        <v>3</v>
      </c>
      <c r="Y407" s="280" t="s">
        <v>1407</v>
      </c>
      <c r="Z407" s="280" t="s">
        <v>1408</v>
      </c>
      <c r="AA407" s="280" t="s">
        <v>889</v>
      </c>
      <c r="AB407" s="280" t="s">
        <v>769</v>
      </c>
      <c r="AC407" s="280" t="s">
        <v>1409</v>
      </c>
      <c r="AD407" s="282">
        <v>7.3703703703703702E-2</v>
      </c>
      <c r="AE407" s="280">
        <v>8.48</v>
      </c>
      <c r="AF407" s="280">
        <v>408</v>
      </c>
    </row>
    <row r="408" spans="24:32" ht="30">
      <c r="X408" s="280">
        <v>243</v>
      </c>
      <c r="Y408" s="280" t="s">
        <v>1410</v>
      </c>
      <c r="Z408" s="280" t="s">
        <v>1219</v>
      </c>
      <c r="AA408" s="280" t="s">
        <v>889</v>
      </c>
      <c r="AB408" s="280" t="s">
        <v>782</v>
      </c>
      <c r="AC408" s="280" t="s">
        <v>948</v>
      </c>
      <c r="AD408" s="282">
        <v>7.3715277777777768E-2</v>
      </c>
      <c r="AE408" s="280">
        <v>8.4789999999999992</v>
      </c>
      <c r="AF408" s="280">
        <v>409</v>
      </c>
    </row>
    <row r="409" spans="24:32">
      <c r="X409" s="280">
        <v>192</v>
      </c>
      <c r="Y409" s="280" t="s">
        <v>1411</v>
      </c>
      <c r="Z409" s="280" t="s">
        <v>1084</v>
      </c>
      <c r="AA409" s="280" t="s">
        <v>232</v>
      </c>
      <c r="AB409" s="280" t="s">
        <v>782</v>
      </c>
      <c r="AC409" s="280" t="s">
        <v>1412</v>
      </c>
      <c r="AD409" s="282">
        <v>7.3738425925925929E-2</v>
      </c>
      <c r="AE409" s="280">
        <v>8.4760000000000009</v>
      </c>
      <c r="AF409" s="280">
        <v>410</v>
      </c>
    </row>
    <row r="410" spans="24:32">
      <c r="X410" s="280">
        <v>164</v>
      </c>
      <c r="Y410" s="280" t="s">
        <v>1413</v>
      </c>
      <c r="Z410" s="280" t="s">
        <v>1414</v>
      </c>
      <c r="AA410" s="280" t="s">
        <v>889</v>
      </c>
      <c r="AB410" s="280" t="s">
        <v>782</v>
      </c>
      <c r="AC410" s="280">
        <v>0</v>
      </c>
      <c r="AD410" s="282">
        <v>7.3981481481481481E-2</v>
      </c>
      <c r="AE410" s="280">
        <v>8.4480000000000004</v>
      </c>
      <c r="AF410" s="280">
        <v>411</v>
      </c>
    </row>
    <row r="411" spans="24:32">
      <c r="X411" s="280">
        <v>373</v>
      </c>
      <c r="Y411" s="280" t="s">
        <v>1415</v>
      </c>
      <c r="Z411" s="280" t="s">
        <v>947</v>
      </c>
      <c r="AA411" s="280" t="s">
        <v>232</v>
      </c>
      <c r="AB411" s="280" t="s">
        <v>831</v>
      </c>
      <c r="AC411" s="280">
        <v>0</v>
      </c>
      <c r="AD411" s="282">
        <v>7.4189814814814806E-2</v>
      </c>
      <c r="AE411" s="280">
        <v>8.4239999999999995</v>
      </c>
      <c r="AF411" s="280">
        <v>412</v>
      </c>
    </row>
    <row r="412" spans="24:32">
      <c r="X412" s="280">
        <v>443</v>
      </c>
      <c r="Y412" s="280" t="s">
        <v>1416</v>
      </c>
      <c r="Z412" s="280" t="s">
        <v>1147</v>
      </c>
      <c r="AA412" s="280" t="s">
        <v>889</v>
      </c>
      <c r="AB412" s="280" t="s">
        <v>769</v>
      </c>
      <c r="AC412" s="280">
        <v>0</v>
      </c>
      <c r="AD412" s="282">
        <v>7.4270833333333341E-2</v>
      </c>
      <c r="AE412" s="280">
        <v>8.4149999999999991</v>
      </c>
      <c r="AF412" s="280">
        <v>413</v>
      </c>
    </row>
    <row r="413" spans="24:32">
      <c r="X413" s="280">
        <v>470</v>
      </c>
      <c r="Y413" s="280" t="s">
        <v>1416</v>
      </c>
      <c r="Z413" s="280" t="s">
        <v>856</v>
      </c>
      <c r="AA413" s="280" t="s">
        <v>232</v>
      </c>
      <c r="AB413" s="280" t="s">
        <v>831</v>
      </c>
      <c r="AC413" s="280">
        <v>0</v>
      </c>
      <c r="AD413" s="282">
        <v>7.4328703703703702E-2</v>
      </c>
      <c r="AE413" s="280">
        <v>8.4090000000000007</v>
      </c>
      <c r="AF413" s="280">
        <v>414</v>
      </c>
    </row>
    <row r="414" spans="24:32">
      <c r="X414" s="280">
        <v>309</v>
      </c>
      <c r="Y414" s="280" t="s">
        <v>1417</v>
      </c>
      <c r="Z414" s="280" t="s">
        <v>1418</v>
      </c>
      <c r="AA414" s="280" t="s">
        <v>889</v>
      </c>
      <c r="AB414" s="280" t="s">
        <v>782</v>
      </c>
      <c r="AC414" s="280" t="s">
        <v>1011</v>
      </c>
      <c r="AD414" s="282">
        <v>7.436342592592593E-2</v>
      </c>
      <c r="AE414" s="280">
        <v>8.4049999999999994</v>
      </c>
      <c r="AF414" s="280">
        <v>415</v>
      </c>
    </row>
    <row r="415" spans="24:32">
      <c r="X415" s="280">
        <v>379</v>
      </c>
      <c r="Y415" s="280" t="s">
        <v>1419</v>
      </c>
      <c r="Z415" s="280" t="s">
        <v>1302</v>
      </c>
      <c r="AA415" s="280" t="s">
        <v>889</v>
      </c>
      <c r="AB415" s="280" t="s">
        <v>782</v>
      </c>
      <c r="AC415" s="280" t="s">
        <v>870</v>
      </c>
      <c r="AD415" s="282">
        <v>7.4421296296296291E-2</v>
      </c>
      <c r="AE415" s="280">
        <v>8.3979999999999997</v>
      </c>
      <c r="AF415" s="280">
        <v>416</v>
      </c>
    </row>
    <row r="416" spans="24:32" ht="45">
      <c r="X416" s="280">
        <v>378</v>
      </c>
      <c r="Y416" s="280" t="s">
        <v>1419</v>
      </c>
      <c r="Z416" s="280" t="s">
        <v>850</v>
      </c>
      <c r="AA416" s="280" t="s">
        <v>232</v>
      </c>
      <c r="AB416" s="280" t="s">
        <v>782</v>
      </c>
      <c r="AC416" s="280" t="s">
        <v>1097</v>
      </c>
      <c r="AD416" s="282">
        <v>7.4432870370370371E-2</v>
      </c>
      <c r="AE416" s="280">
        <v>8.3970000000000002</v>
      </c>
      <c r="AF416" s="280">
        <v>417</v>
      </c>
    </row>
    <row r="417" spans="24:32">
      <c r="X417" s="280">
        <v>116</v>
      </c>
      <c r="Y417" s="280" t="s">
        <v>1013</v>
      </c>
      <c r="Z417" s="280" t="s">
        <v>844</v>
      </c>
      <c r="AA417" s="280" t="s">
        <v>232</v>
      </c>
      <c r="AB417" s="280" t="s">
        <v>769</v>
      </c>
      <c r="AC417" s="280">
        <v>0</v>
      </c>
      <c r="AD417" s="282">
        <v>7.4456018518518519E-2</v>
      </c>
      <c r="AE417" s="280">
        <v>8.3940000000000001</v>
      </c>
      <c r="AF417" s="280">
        <v>418</v>
      </c>
    </row>
    <row r="418" spans="24:32">
      <c r="X418" s="280">
        <v>160</v>
      </c>
      <c r="Y418" s="280" t="s">
        <v>1420</v>
      </c>
      <c r="Z418" s="280" t="s">
        <v>1019</v>
      </c>
      <c r="AA418" s="280" t="s">
        <v>232</v>
      </c>
      <c r="AB418" s="280" t="s">
        <v>782</v>
      </c>
      <c r="AC418" s="280">
        <v>0</v>
      </c>
      <c r="AD418" s="282">
        <v>7.4629629629629629E-2</v>
      </c>
      <c r="AE418" s="280">
        <v>8.375</v>
      </c>
      <c r="AF418" s="280">
        <v>419</v>
      </c>
    </row>
    <row r="419" spans="24:32" ht="30">
      <c r="X419" s="280">
        <v>159</v>
      </c>
      <c r="Y419" s="280" t="s">
        <v>1420</v>
      </c>
      <c r="Z419" s="280" t="s">
        <v>797</v>
      </c>
      <c r="AA419" s="280" t="s">
        <v>232</v>
      </c>
      <c r="AB419" s="280" t="s">
        <v>819</v>
      </c>
      <c r="AC419" s="280">
        <v>0</v>
      </c>
      <c r="AD419" s="282">
        <v>7.4652777777777776E-2</v>
      </c>
      <c r="AE419" s="280">
        <v>8.3719999999999999</v>
      </c>
      <c r="AF419" s="280">
        <v>420</v>
      </c>
    </row>
    <row r="420" spans="24:32" ht="30">
      <c r="X420" s="280">
        <v>387</v>
      </c>
      <c r="Y420" s="280" t="s">
        <v>1421</v>
      </c>
      <c r="Z420" s="280" t="s">
        <v>1422</v>
      </c>
      <c r="AA420" s="280" t="s">
        <v>232</v>
      </c>
      <c r="AB420" s="280" t="s">
        <v>873</v>
      </c>
      <c r="AC420" s="280">
        <v>0</v>
      </c>
      <c r="AD420" s="282">
        <v>7.4884259259259262E-2</v>
      </c>
      <c r="AE420" s="280">
        <v>8.3460000000000001</v>
      </c>
      <c r="AF420" s="280">
        <v>421</v>
      </c>
    </row>
    <row r="421" spans="24:32">
      <c r="X421" s="280">
        <v>386</v>
      </c>
      <c r="Y421" s="280" t="s">
        <v>1423</v>
      </c>
      <c r="Z421" s="280" t="s">
        <v>1424</v>
      </c>
      <c r="AA421" s="280" t="s">
        <v>889</v>
      </c>
      <c r="AB421" s="280" t="s">
        <v>769</v>
      </c>
      <c r="AC421" s="280">
        <v>0</v>
      </c>
      <c r="AD421" s="282">
        <v>7.4930555555555556E-2</v>
      </c>
      <c r="AE421" s="280">
        <v>8.3409999999999993</v>
      </c>
      <c r="AF421" s="280">
        <v>422</v>
      </c>
    </row>
    <row r="422" spans="24:32">
      <c r="X422" s="280">
        <v>184</v>
      </c>
      <c r="Y422" s="280" t="s">
        <v>944</v>
      </c>
      <c r="Z422" s="280" t="s">
        <v>1291</v>
      </c>
      <c r="AA422" s="280" t="s">
        <v>232</v>
      </c>
      <c r="AB422" s="280" t="s">
        <v>831</v>
      </c>
      <c r="AC422" s="280" t="s">
        <v>1009</v>
      </c>
      <c r="AD422" s="282">
        <v>7.4953703703703703E-2</v>
      </c>
      <c r="AE422" s="280">
        <v>8.3379999999999992</v>
      </c>
      <c r="AF422" s="280">
        <v>423</v>
      </c>
    </row>
    <row r="423" spans="24:32">
      <c r="X423" s="280">
        <v>415</v>
      </c>
      <c r="Y423" s="280" t="s">
        <v>1425</v>
      </c>
      <c r="Z423" s="280" t="s">
        <v>1426</v>
      </c>
      <c r="AA423" s="280" t="s">
        <v>889</v>
      </c>
      <c r="AB423" s="280" t="s">
        <v>769</v>
      </c>
      <c r="AC423" s="280">
        <v>0</v>
      </c>
      <c r="AD423" s="282">
        <v>7.5335648148148152E-2</v>
      </c>
      <c r="AE423" s="280">
        <v>8.2959999999999994</v>
      </c>
      <c r="AF423" s="280">
        <v>424</v>
      </c>
    </row>
    <row r="424" spans="24:32">
      <c r="X424" s="280">
        <v>37</v>
      </c>
      <c r="Y424" s="280" t="s">
        <v>1427</v>
      </c>
      <c r="Z424" s="280" t="s">
        <v>1358</v>
      </c>
      <c r="AA424" s="280" t="s">
        <v>889</v>
      </c>
      <c r="AB424" s="280" t="s">
        <v>782</v>
      </c>
      <c r="AC424" s="280">
        <v>0</v>
      </c>
      <c r="AD424" s="282">
        <v>7.5520833333333329E-2</v>
      </c>
      <c r="AE424" s="280">
        <v>8.2759999999999998</v>
      </c>
      <c r="AF424" s="280">
        <v>425</v>
      </c>
    </row>
    <row r="425" spans="24:32" ht="45">
      <c r="X425" s="280">
        <v>283</v>
      </c>
      <c r="Y425" s="280" t="s">
        <v>1003</v>
      </c>
      <c r="Z425" s="280" t="s">
        <v>1095</v>
      </c>
      <c r="AA425" s="280" t="s">
        <v>889</v>
      </c>
      <c r="AB425" s="280" t="s">
        <v>819</v>
      </c>
      <c r="AC425" s="280" t="s">
        <v>962</v>
      </c>
      <c r="AD425" s="282">
        <v>7.604166666666666E-2</v>
      </c>
      <c r="AE425" s="280">
        <v>8.2189999999999994</v>
      </c>
      <c r="AF425" s="280">
        <v>426</v>
      </c>
    </row>
    <row r="426" spans="24:32">
      <c r="X426" s="280">
        <v>285</v>
      </c>
      <c r="Y426" s="280" t="s">
        <v>1003</v>
      </c>
      <c r="Z426" s="280" t="s">
        <v>1428</v>
      </c>
      <c r="AA426" s="280" t="s">
        <v>232</v>
      </c>
      <c r="AB426" s="280" t="s">
        <v>782</v>
      </c>
      <c r="AC426" s="280">
        <v>0</v>
      </c>
      <c r="AD426" s="282">
        <v>7.6122685185185182E-2</v>
      </c>
      <c r="AE426" s="280">
        <v>8.2100000000000009</v>
      </c>
      <c r="AF426" s="280">
        <v>427</v>
      </c>
    </row>
    <row r="427" spans="24:32">
      <c r="X427" s="280">
        <v>402</v>
      </c>
      <c r="Y427" s="280" t="s">
        <v>1429</v>
      </c>
      <c r="Z427" s="280" t="s">
        <v>1430</v>
      </c>
      <c r="AA427" s="280" t="s">
        <v>889</v>
      </c>
      <c r="AB427" s="280" t="s">
        <v>769</v>
      </c>
      <c r="AC427" s="280">
        <v>0</v>
      </c>
      <c r="AD427" s="282">
        <v>7.631944444444444E-2</v>
      </c>
      <c r="AE427" s="280">
        <v>8.1890000000000001</v>
      </c>
      <c r="AF427" s="280">
        <v>428</v>
      </c>
    </row>
    <row r="428" spans="24:32">
      <c r="X428" s="280">
        <v>413</v>
      </c>
      <c r="Y428" s="280" t="s">
        <v>951</v>
      </c>
      <c r="Z428" s="280" t="s">
        <v>1431</v>
      </c>
      <c r="AA428" s="280" t="s">
        <v>889</v>
      </c>
      <c r="AB428" s="280" t="s">
        <v>769</v>
      </c>
      <c r="AC428" s="280">
        <v>0</v>
      </c>
      <c r="AD428" s="282">
        <v>7.6562499999999992E-2</v>
      </c>
      <c r="AE428" s="280">
        <v>8.1630000000000003</v>
      </c>
      <c r="AF428" s="280">
        <v>429</v>
      </c>
    </row>
    <row r="429" spans="24:32">
      <c r="X429" s="280">
        <v>343</v>
      </c>
      <c r="Y429" s="280" t="s">
        <v>1383</v>
      </c>
      <c r="Z429" s="280" t="s">
        <v>1432</v>
      </c>
      <c r="AA429" s="280" t="s">
        <v>889</v>
      </c>
      <c r="AB429" s="280" t="s">
        <v>769</v>
      </c>
      <c r="AC429" s="280">
        <v>0</v>
      </c>
      <c r="AD429" s="282">
        <v>7.662037037037038E-2</v>
      </c>
      <c r="AE429" s="280">
        <v>8.157</v>
      </c>
      <c r="AF429" s="280">
        <v>430</v>
      </c>
    </row>
    <row r="430" spans="24:32" ht="30">
      <c r="X430" s="280">
        <v>242</v>
      </c>
      <c r="Y430" s="280" t="s">
        <v>1433</v>
      </c>
      <c r="Z430" s="280" t="s">
        <v>1029</v>
      </c>
      <c r="AA430" s="280" t="s">
        <v>232</v>
      </c>
      <c r="AB430" s="280" t="s">
        <v>1078</v>
      </c>
      <c r="AC430" s="280" t="s">
        <v>948</v>
      </c>
      <c r="AD430" s="282">
        <v>7.6863425925925918E-2</v>
      </c>
      <c r="AE430" s="280">
        <v>8.1310000000000002</v>
      </c>
      <c r="AF430" s="280">
        <v>431</v>
      </c>
    </row>
    <row r="431" spans="24:32">
      <c r="X431" s="280">
        <v>500</v>
      </c>
      <c r="Y431" s="280" t="s">
        <v>1434</v>
      </c>
      <c r="Z431" s="280" t="s">
        <v>1141</v>
      </c>
      <c r="AA431" s="280" t="s">
        <v>232</v>
      </c>
      <c r="AB431" s="280" t="s">
        <v>782</v>
      </c>
      <c r="AC431" s="280">
        <v>0</v>
      </c>
      <c r="AD431" s="282">
        <v>7.6909722222222213E-2</v>
      </c>
      <c r="AE431" s="280">
        <v>8.1259999999999994</v>
      </c>
      <c r="AF431" s="280">
        <v>432</v>
      </c>
    </row>
    <row r="432" spans="24:32">
      <c r="X432" s="280">
        <v>494</v>
      </c>
      <c r="Y432" s="280" t="s">
        <v>1435</v>
      </c>
      <c r="Z432" s="280" t="s">
        <v>1030</v>
      </c>
      <c r="AA432" s="280" t="s">
        <v>232</v>
      </c>
      <c r="AB432" s="280" t="s">
        <v>782</v>
      </c>
      <c r="AC432" s="280">
        <v>0</v>
      </c>
      <c r="AD432" s="282">
        <v>7.6932870370370374E-2</v>
      </c>
      <c r="AE432" s="280">
        <v>8.1240000000000006</v>
      </c>
      <c r="AF432" s="280">
        <v>433</v>
      </c>
    </row>
    <row r="433" spans="24:32" ht="30">
      <c r="X433" s="280">
        <v>86</v>
      </c>
      <c r="Y433" s="280" t="s">
        <v>1436</v>
      </c>
      <c r="Z433" s="280" t="s">
        <v>1437</v>
      </c>
      <c r="AA433" s="280" t="s">
        <v>232</v>
      </c>
      <c r="AB433" s="280" t="s">
        <v>1078</v>
      </c>
      <c r="AC433" s="280">
        <v>0</v>
      </c>
      <c r="AD433" s="282">
        <v>7.7094907407407418E-2</v>
      </c>
      <c r="AE433" s="280">
        <v>8.1069999999999993</v>
      </c>
      <c r="AF433" s="280">
        <v>434</v>
      </c>
    </row>
    <row r="434" spans="24:32" ht="30">
      <c r="X434" s="280">
        <v>132</v>
      </c>
      <c r="Y434" s="280" t="s">
        <v>1438</v>
      </c>
      <c r="Z434" s="280" t="s">
        <v>1439</v>
      </c>
      <c r="AA434" s="280" t="s">
        <v>889</v>
      </c>
      <c r="AB434" s="280" t="s">
        <v>782</v>
      </c>
      <c r="AC434" s="280" t="s">
        <v>930</v>
      </c>
      <c r="AD434" s="282">
        <v>7.7106481481481484E-2</v>
      </c>
      <c r="AE434" s="280">
        <v>8.1059999999999999</v>
      </c>
      <c r="AF434" s="280">
        <v>435</v>
      </c>
    </row>
    <row r="435" spans="24:32" ht="45">
      <c r="X435" s="280">
        <v>280</v>
      </c>
      <c r="Y435" s="280" t="s">
        <v>1440</v>
      </c>
      <c r="Z435" s="280" t="s">
        <v>1441</v>
      </c>
      <c r="AA435" s="280" t="s">
        <v>889</v>
      </c>
      <c r="AB435" s="280" t="s">
        <v>819</v>
      </c>
      <c r="AC435" s="280" t="s">
        <v>962</v>
      </c>
      <c r="AD435" s="282">
        <v>7.767361111111111E-2</v>
      </c>
      <c r="AE435" s="280">
        <v>8.0459999999999994</v>
      </c>
      <c r="AF435" s="280">
        <v>436</v>
      </c>
    </row>
    <row r="436" spans="24:32">
      <c r="X436" s="280">
        <v>10</v>
      </c>
      <c r="Y436" s="280" t="s">
        <v>1442</v>
      </c>
      <c r="Z436" s="280" t="s">
        <v>901</v>
      </c>
      <c r="AA436" s="280" t="s">
        <v>232</v>
      </c>
      <c r="AB436" s="280" t="s">
        <v>782</v>
      </c>
      <c r="AC436" s="280">
        <v>0</v>
      </c>
      <c r="AD436" s="282">
        <v>7.7835648148148154E-2</v>
      </c>
      <c r="AE436" s="280">
        <v>8.0299999999999994</v>
      </c>
      <c r="AF436" s="280">
        <v>437</v>
      </c>
    </row>
    <row r="437" spans="24:32">
      <c r="X437" s="280">
        <v>115</v>
      </c>
      <c r="Y437" s="280" t="s">
        <v>1443</v>
      </c>
      <c r="Z437" s="280" t="s">
        <v>1211</v>
      </c>
      <c r="AA437" s="280" t="s">
        <v>889</v>
      </c>
      <c r="AB437" s="280" t="s">
        <v>782</v>
      </c>
      <c r="AC437" s="280" t="s">
        <v>1157</v>
      </c>
      <c r="AD437" s="282">
        <v>7.8043981481481492E-2</v>
      </c>
      <c r="AE437" s="280">
        <v>8.0079999999999991</v>
      </c>
      <c r="AF437" s="280">
        <v>438</v>
      </c>
    </row>
    <row r="438" spans="24:32">
      <c r="X438" s="280">
        <v>286</v>
      </c>
      <c r="Y438" s="280" t="s">
        <v>1444</v>
      </c>
      <c r="Z438" s="280" t="s">
        <v>983</v>
      </c>
      <c r="AA438" s="280" t="s">
        <v>232</v>
      </c>
      <c r="AB438" s="280" t="s">
        <v>782</v>
      </c>
      <c r="AC438" s="280">
        <v>0</v>
      </c>
      <c r="AD438" s="282">
        <v>7.8148148148148147E-2</v>
      </c>
      <c r="AE438" s="280">
        <v>7.9980000000000002</v>
      </c>
      <c r="AF438" s="280">
        <v>439</v>
      </c>
    </row>
    <row r="439" spans="24:32" ht="30">
      <c r="X439" s="280">
        <v>287</v>
      </c>
      <c r="Y439" s="280" t="s">
        <v>1445</v>
      </c>
      <c r="Z439" s="280" t="s">
        <v>1446</v>
      </c>
      <c r="AA439" s="280" t="s">
        <v>889</v>
      </c>
      <c r="AB439" s="280" t="s">
        <v>782</v>
      </c>
      <c r="AC439" s="280">
        <v>0</v>
      </c>
      <c r="AD439" s="282">
        <v>7.8194444444444441E-2</v>
      </c>
      <c r="AE439" s="280">
        <v>7.9930000000000003</v>
      </c>
      <c r="AF439" s="280">
        <v>440</v>
      </c>
    </row>
    <row r="440" spans="24:32" ht="30">
      <c r="X440" s="280">
        <v>260</v>
      </c>
      <c r="Y440" s="280" t="s">
        <v>1447</v>
      </c>
      <c r="Z440" s="280" t="s">
        <v>1446</v>
      </c>
      <c r="AA440" s="280" t="s">
        <v>889</v>
      </c>
      <c r="AB440" s="280" t="s">
        <v>831</v>
      </c>
      <c r="AC440" s="280">
        <v>0</v>
      </c>
      <c r="AD440" s="282">
        <v>7.8518518518518529E-2</v>
      </c>
      <c r="AE440" s="280">
        <v>7.96</v>
      </c>
      <c r="AF440" s="280">
        <v>441</v>
      </c>
    </row>
    <row r="441" spans="24:32">
      <c r="X441" s="280">
        <v>261</v>
      </c>
      <c r="Y441" s="280" t="s">
        <v>1447</v>
      </c>
      <c r="Z441" s="280" t="s">
        <v>1154</v>
      </c>
      <c r="AA441" s="280" t="s">
        <v>232</v>
      </c>
      <c r="AB441" s="280" t="s">
        <v>831</v>
      </c>
      <c r="AC441" s="280">
        <v>0</v>
      </c>
      <c r="AD441" s="282">
        <v>7.8530092592592596E-2</v>
      </c>
      <c r="AE441" s="280">
        <v>7.9589999999999996</v>
      </c>
      <c r="AF441" s="280">
        <v>442</v>
      </c>
    </row>
    <row r="442" spans="24:32">
      <c r="X442" s="280">
        <v>45</v>
      </c>
      <c r="Y442" s="280" t="s">
        <v>1105</v>
      </c>
      <c r="Z442" s="280" t="s">
        <v>1439</v>
      </c>
      <c r="AA442" s="280" t="s">
        <v>889</v>
      </c>
      <c r="AB442" s="280" t="s">
        <v>831</v>
      </c>
      <c r="AC442" s="280" t="s">
        <v>1338</v>
      </c>
      <c r="AD442" s="282">
        <v>7.8657407407407412E-2</v>
      </c>
      <c r="AE442" s="280">
        <v>7.9459999999999997</v>
      </c>
      <c r="AF442" s="280">
        <v>443</v>
      </c>
    </row>
    <row r="443" spans="24:32" ht="45">
      <c r="X443" s="280">
        <v>239</v>
      </c>
      <c r="Y443" s="280" t="s">
        <v>1448</v>
      </c>
      <c r="Z443" s="280" t="s">
        <v>1449</v>
      </c>
      <c r="AA443" s="280" t="s">
        <v>889</v>
      </c>
      <c r="AB443" s="280" t="s">
        <v>831</v>
      </c>
      <c r="AC443" s="280" t="s">
        <v>1450</v>
      </c>
      <c r="AD443" s="282">
        <v>7.8692129629629626E-2</v>
      </c>
      <c r="AE443" s="280">
        <v>7.9420000000000002</v>
      </c>
      <c r="AF443" s="280">
        <v>444</v>
      </c>
    </row>
    <row r="444" spans="24:32" ht="45">
      <c r="X444" s="280">
        <v>401</v>
      </c>
      <c r="Y444" s="280" t="s">
        <v>1451</v>
      </c>
      <c r="Z444" s="280" t="s">
        <v>1077</v>
      </c>
      <c r="AA444" s="280" t="s">
        <v>232</v>
      </c>
      <c r="AB444" s="280" t="s">
        <v>1078</v>
      </c>
      <c r="AC444" s="280" t="s">
        <v>1452</v>
      </c>
      <c r="AD444" s="282">
        <v>7.9004629629629633E-2</v>
      </c>
      <c r="AE444" s="280">
        <v>7.9109999999999996</v>
      </c>
      <c r="AF444" s="280">
        <v>445</v>
      </c>
    </row>
    <row r="445" spans="24:32">
      <c r="X445" s="280">
        <v>80</v>
      </c>
      <c r="Y445" s="280" t="s">
        <v>1453</v>
      </c>
      <c r="Z445" s="280" t="s">
        <v>1237</v>
      </c>
      <c r="AA445" s="280" t="s">
        <v>889</v>
      </c>
      <c r="AB445" s="280" t="s">
        <v>769</v>
      </c>
      <c r="AC445" s="280" t="s">
        <v>939</v>
      </c>
      <c r="AD445" s="282">
        <v>7.9155092592592582E-2</v>
      </c>
      <c r="AE445" s="280">
        <v>7.8959999999999999</v>
      </c>
      <c r="AF445" s="280">
        <v>446</v>
      </c>
    </row>
    <row r="446" spans="24:32">
      <c r="X446" s="280">
        <v>288</v>
      </c>
      <c r="Y446" s="280" t="s">
        <v>1032</v>
      </c>
      <c r="Z446" s="280" t="s">
        <v>1454</v>
      </c>
      <c r="AA446" s="280" t="s">
        <v>889</v>
      </c>
      <c r="AB446" s="280" t="s">
        <v>769</v>
      </c>
      <c r="AC446" s="280">
        <v>0</v>
      </c>
      <c r="AD446" s="282">
        <v>8.2800925925925931E-2</v>
      </c>
      <c r="AE446" s="280">
        <v>7.548</v>
      </c>
      <c r="AF446" s="280">
        <v>447</v>
      </c>
    </row>
    <row r="447" spans="24:32">
      <c r="X447" s="280">
        <v>109</v>
      </c>
      <c r="Y447" s="280" t="s">
        <v>1455</v>
      </c>
      <c r="Z447" s="280" t="s">
        <v>1084</v>
      </c>
      <c r="AA447" s="280" t="s">
        <v>232</v>
      </c>
      <c r="AB447" s="280" t="s">
        <v>782</v>
      </c>
      <c r="AC447" s="280">
        <v>0</v>
      </c>
      <c r="AD447" s="282">
        <v>8.2847222222222225E-2</v>
      </c>
      <c r="AE447" s="280">
        <v>7.5439999999999996</v>
      </c>
      <c r="AF447" s="280">
        <v>448</v>
      </c>
    </row>
    <row r="448" spans="24:32" ht="30">
      <c r="X448" s="280">
        <v>185</v>
      </c>
      <c r="Y448" s="280" t="s">
        <v>1456</v>
      </c>
      <c r="Z448" s="280" t="s">
        <v>230</v>
      </c>
      <c r="AA448" s="280" t="s">
        <v>232</v>
      </c>
      <c r="AB448" s="280" t="s">
        <v>782</v>
      </c>
      <c r="AC448" s="280" t="s">
        <v>1457</v>
      </c>
      <c r="AD448" s="282">
        <v>8.3206018518518512E-2</v>
      </c>
      <c r="AE448" s="280">
        <v>7.5110000000000001</v>
      </c>
      <c r="AF448" s="280">
        <v>449</v>
      </c>
    </row>
    <row r="449" spans="24:32">
      <c r="X449" s="280">
        <v>265</v>
      </c>
      <c r="Y449" s="280" t="s">
        <v>1458</v>
      </c>
      <c r="Z449" s="280" t="s">
        <v>1117</v>
      </c>
      <c r="AA449" s="280" t="s">
        <v>889</v>
      </c>
      <c r="AB449" s="280" t="s">
        <v>769</v>
      </c>
      <c r="AC449" s="280">
        <v>0</v>
      </c>
      <c r="AD449" s="282">
        <v>8.335648148148149E-2</v>
      </c>
      <c r="AE449" s="280">
        <v>7.4980000000000002</v>
      </c>
      <c r="AF449" s="280">
        <v>450</v>
      </c>
    </row>
    <row r="450" spans="24:32" ht="30">
      <c r="X450" s="280">
        <v>496</v>
      </c>
      <c r="Y450" s="280" t="s">
        <v>1459</v>
      </c>
      <c r="Z450" s="280" t="s">
        <v>1460</v>
      </c>
      <c r="AA450" s="280" t="s">
        <v>232</v>
      </c>
      <c r="AB450" s="280" t="s">
        <v>782</v>
      </c>
      <c r="AC450" s="280">
        <v>0</v>
      </c>
      <c r="AD450" s="282">
        <v>8.3599537037037042E-2</v>
      </c>
      <c r="AE450" s="280">
        <v>7.476</v>
      </c>
      <c r="AF450" s="280">
        <v>451</v>
      </c>
    </row>
    <row r="451" spans="24:32">
      <c r="X451" s="280">
        <v>36</v>
      </c>
      <c r="Y451" s="280" t="s">
        <v>1404</v>
      </c>
      <c r="Z451" s="280" t="s">
        <v>1257</v>
      </c>
      <c r="AA451" s="280" t="s">
        <v>889</v>
      </c>
      <c r="AB451" s="280" t="s">
        <v>782</v>
      </c>
      <c r="AC451" s="280">
        <v>0</v>
      </c>
      <c r="AD451" s="282">
        <v>8.4247685185185175E-2</v>
      </c>
      <c r="AE451" s="280">
        <v>7.4189999999999996</v>
      </c>
      <c r="AF451" s="280">
        <v>452</v>
      </c>
    </row>
    <row r="452" spans="24:32" ht="45">
      <c r="X452" s="280">
        <v>79</v>
      </c>
      <c r="Y452" s="280" t="s">
        <v>1461</v>
      </c>
      <c r="Z452" s="280" t="s">
        <v>1462</v>
      </c>
      <c r="AA452" s="280" t="s">
        <v>889</v>
      </c>
      <c r="AB452" s="280" t="s">
        <v>782</v>
      </c>
      <c r="AC452" s="280" t="s">
        <v>1463</v>
      </c>
      <c r="AD452" s="282">
        <v>8.4282407407407403E-2</v>
      </c>
      <c r="AE452" s="280">
        <v>7.4160000000000004</v>
      </c>
      <c r="AF452" s="280">
        <v>453</v>
      </c>
    </row>
    <row r="453" spans="24:32" ht="45">
      <c r="X453" s="280">
        <v>78</v>
      </c>
      <c r="Y453" s="280" t="s">
        <v>1461</v>
      </c>
      <c r="Z453" s="280" t="s">
        <v>1291</v>
      </c>
      <c r="AA453" s="280" t="s">
        <v>232</v>
      </c>
      <c r="AB453" s="280" t="s">
        <v>782</v>
      </c>
      <c r="AC453" s="280" t="s">
        <v>1463</v>
      </c>
      <c r="AD453" s="282">
        <v>8.4293981481481484E-2</v>
      </c>
      <c r="AE453" s="280">
        <v>7.415</v>
      </c>
      <c r="AF453" s="280">
        <v>454</v>
      </c>
    </row>
    <row r="454" spans="24:32">
      <c r="X454" s="280">
        <v>35</v>
      </c>
      <c r="Y454" s="280" t="s">
        <v>1404</v>
      </c>
      <c r="Z454" s="280" t="s">
        <v>861</v>
      </c>
      <c r="AA454" s="280" t="s">
        <v>232</v>
      </c>
      <c r="AB454" s="280" t="s">
        <v>782</v>
      </c>
      <c r="AC454" s="280">
        <v>0</v>
      </c>
      <c r="AD454" s="282">
        <v>8.4328703703703711E-2</v>
      </c>
      <c r="AE454" s="280">
        <v>7.4109999999999996</v>
      </c>
      <c r="AF454" s="280">
        <v>455</v>
      </c>
    </row>
    <row r="455" spans="24:32">
      <c r="X455" s="280">
        <v>89</v>
      </c>
      <c r="Y455" s="280" t="s">
        <v>1464</v>
      </c>
      <c r="Z455" s="280" t="s">
        <v>1465</v>
      </c>
      <c r="AA455" s="280" t="s">
        <v>889</v>
      </c>
      <c r="AB455" s="280" t="s">
        <v>831</v>
      </c>
      <c r="AC455" s="280" t="s">
        <v>870</v>
      </c>
      <c r="AD455" s="282">
        <v>8.4618055555555557E-2</v>
      </c>
      <c r="AE455" s="280">
        <v>7.3860000000000001</v>
      </c>
      <c r="AF455" s="280">
        <v>456</v>
      </c>
    </row>
    <row r="456" spans="24:32">
      <c r="X456" s="280">
        <v>27</v>
      </c>
      <c r="Y456" s="280" t="s">
        <v>1376</v>
      </c>
      <c r="Z456" s="280" t="s">
        <v>1466</v>
      </c>
      <c r="AA456" s="280" t="s">
        <v>889</v>
      </c>
      <c r="AB456" s="280" t="s">
        <v>831</v>
      </c>
      <c r="AC456" s="280">
        <v>0</v>
      </c>
      <c r="AD456" s="282">
        <v>8.4664351851851852E-2</v>
      </c>
      <c r="AE456" s="280">
        <v>7.3819999999999997</v>
      </c>
      <c r="AF456" s="280">
        <v>457</v>
      </c>
    </row>
    <row r="457" spans="24:32">
      <c r="X457" s="280">
        <v>407</v>
      </c>
      <c r="Y457" s="280" t="s">
        <v>1467</v>
      </c>
      <c r="Z457" s="280" t="s">
        <v>901</v>
      </c>
      <c r="AA457" s="280" t="s">
        <v>232</v>
      </c>
      <c r="AB457" s="280" t="s">
        <v>831</v>
      </c>
      <c r="AC457" s="280">
        <v>0</v>
      </c>
      <c r="AD457" s="282">
        <v>8.7060185185185171E-2</v>
      </c>
      <c r="AE457" s="280">
        <v>7.1790000000000003</v>
      </c>
      <c r="AF457" s="280">
        <v>458</v>
      </c>
    </row>
    <row r="458" spans="24:32">
      <c r="X458" s="280">
        <v>406</v>
      </c>
      <c r="Y458" s="280" t="s">
        <v>1468</v>
      </c>
      <c r="Z458" s="280" t="s">
        <v>1469</v>
      </c>
      <c r="AA458" s="280" t="s">
        <v>232</v>
      </c>
      <c r="AB458" s="280" t="s">
        <v>831</v>
      </c>
      <c r="AC458" s="280">
        <v>0</v>
      </c>
      <c r="AD458" s="282">
        <v>8.7083333333333332E-2</v>
      </c>
      <c r="AE458" s="280">
        <v>7.1769999999999996</v>
      </c>
      <c r="AF458" s="280">
        <v>459</v>
      </c>
    </row>
    <row r="459" spans="24:32" ht="30">
      <c r="X459" s="280">
        <v>232</v>
      </c>
      <c r="Y459" s="280" t="s">
        <v>1470</v>
      </c>
      <c r="Z459" s="280" t="s">
        <v>1293</v>
      </c>
      <c r="AA459" s="280" t="s">
        <v>889</v>
      </c>
      <c r="AB459" s="280" t="s">
        <v>831</v>
      </c>
      <c r="AC459" s="280" t="s">
        <v>1115</v>
      </c>
      <c r="AD459" s="282">
        <v>8.863425925925926E-2</v>
      </c>
      <c r="AE459" s="280">
        <v>7.0510000000000002</v>
      </c>
      <c r="AF459" s="280">
        <v>460</v>
      </c>
    </row>
    <row r="460" spans="24:32" ht="30">
      <c r="X460" s="280">
        <v>414</v>
      </c>
      <c r="Y460" s="280" t="s">
        <v>1081</v>
      </c>
      <c r="Z460" s="280" t="s">
        <v>1471</v>
      </c>
      <c r="AA460" s="280" t="s">
        <v>889</v>
      </c>
      <c r="AB460" s="280" t="s">
        <v>831</v>
      </c>
      <c r="AC460" s="280">
        <v>0</v>
      </c>
      <c r="AD460" s="282">
        <v>8.9456018518518518E-2</v>
      </c>
      <c r="AE460" s="280">
        <v>6.9870000000000001</v>
      </c>
      <c r="AF460" s="280">
        <v>461</v>
      </c>
    </row>
    <row r="461" spans="24:32">
      <c r="X461" s="280">
        <v>405</v>
      </c>
      <c r="Y461" s="280" t="s">
        <v>1472</v>
      </c>
      <c r="Z461" s="280" t="s">
        <v>1473</v>
      </c>
      <c r="AA461" s="280" t="s">
        <v>889</v>
      </c>
      <c r="AB461" s="280" t="s">
        <v>831</v>
      </c>
      <c r="AC461" s="280">
        <v>0</v>
      </c>
      <c r="AD461" s="282">
        <v>9.0069444444444438E-2</v>
      </c>
      <c r="AE461" s="280">
        <v>6.9390000000000001</v>
      </c>
      <c r="AF461" s="280">
        <v>462</v>
      </c>
    </row>
    <row r="462" spans="24:32" ht="30">
      <c r="X462" s="280">
        <v>9</v>
      </c>
      <c r="Y462" s="280" t="s">
        <v>1474</v>
      </c>
      <c r="Z462" s="280" t="s">
        <v>1127</v>
      </c>
      <c r="AA462" s="280" t="s">
        <v>889</v>
      </c>
      <c r="AB462" s="280" t="s">
        <v>782</v>
      </c>
      <c r="AC462" s="280" t="s">
        <v>1475</v>
      </c>
      <c r="AD462" s="282">
        <v>9.0173611111111107E-2</v>
      </c>
      <c r="AE462" s="280">
        <v>6.931</v>
      </c>
      <c r="AF462" s="280">
        <v>463</v>
      </c>
    </row>
    <row r="463" spans="24:32">
      <c r="X463" s="280">
        <v>158</v>
      </c>
      <c r="Y463" s="280" t="s">
        <v>1476</v>
      </c>
      <c r="Z463" s="280" t="s">
        <v>844</v>
      </c>
      <c r="AA463" s="280" t="s">
        <v>232</v>
      </c>
      <c r="AB463" s="280" t="s">
        <v>769</v>
      </c>
      <c r="AC463" s="280">
        <v>0</v>
      </c>
      <c r="AD463" s="282">
        <v>9.493055555555556E-2</v>
      </c>
      <c r="AE463" s="280">
        <v>6.5839999999999996</v>
      </c>
      <c r="AF463" s="280">
        <v>464</v>
      </c>
    </row>
    <row r="464" spans="24:32" ht="30">
      <c r="X464" s="280">
        <v>354</v>
      </c>
      <c r="Y464" s="280" t="s">
        <v>1477</v>
      </c>
      <c r="Z464" s="280" t="s">
        <v>1478</v>
      </c>
      <c r="AA464" s="280" t="s">
        <v>889</v>
      </c>
      <c r="AB464" s="280" t="s">
        <v>782</v>
      </c>
      <c r="AC464" s="280">
        <v>0</v>
      </c>
      <c r="AD464" s="282">
        <v>9.5856481481481473E-2</v>
      </c>
      <c r="AE464" s="280">
        <v>6.52</v>
      </c>
      <c r="AF464" s="280">
        <v>465</v>
      </c>
    </row>
    <row r="465" spans="24:32">
      <c r="X465" s="280">
        <v>83</v>
      </c>
      <c r="Y465" s="280" t="s">
        <v>1479</v>
      </c>
      <c r="Z465" s="280" t="s">
        <v>1480</v>
      </c>
      <c r="AA465" s="280" t="s">
        <v>889</v>
      </c>
      <c r="AB465" s="280" t="s">
        <v>831</v>
      </c>
      <c r="AC465" s="280">
        <v>0</v>
      </c>
      <c r="AD465" s="282">
        <v>9.9340277777777777E-2</v>
      </c>
      <c r="AE465" s="280">
        <v>6.2919999999999998</v>
      </c>
      <c r="AF465" s="280">
        <v>466</v>
      </c>
    </row>
    <row r="466" spans="24:32">
      <c r="X466" s="280">
        <v>383</v>
      </c>
      <c r="Y466" s="280" t="s">
        <v>1481</v>
      </c>
      <c r="Z466" s="280" t="s">
        <v>1482</v>
      </c>
      <c r="AA466" s="280" t="s">
        <v>232</v>
      </c>
      <c r="AB466" s="280" t="s">
        <v>831</v>
      </c>
      <c r="AC466" s="280" t="s">
        <v>1483</v>
      </c>
      <c r="AD466" s="282">
        <v>0.10410879629629628</v>
      </c>
      <c r="AE466" s="280">
        <v>6.0030000000000001</v>
      </c>
      <c r="AF466" s="280">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election activeCell="B9" sqref="B9:G17"/>
    </sheetView>
  </sheetViews>
  <sheetFormatPr baseColWidth="10" defaultColWidth="37.83203125" defaultRowHeight="18" x14ac:dyDescent="0"/>
  <cols>
    <col min="1" max="1" width="37.83203125" style="301"/>
    <col min="2" max="2" width="40.5" style="301" bestFit="1" customWidth="1"/>
    <col min="3" max="3" width="21.33203125" style="301" bestFit="1" customWidth="1"/>
    <col min="4" max="4" width="31.33203125" style="301" bestFit="1" customWidth="1"/>
    <col min="5" max="5" width="26.83203125" style="301" customWidth="1"/>
    <col min="6" max="6" width="54.33203125" style="301" customWidth="1"/>
    <col min="7" max="7" width="20.33203125" style="301" bestFit="1" customWidth="1"/>
    <col min="8" max="8" width="10.5" style="301" customWidth="1"/>
    <col min="9" max="9" width="17.5" style="301" customWidth="1"/>
    <col min="10" max="10" width="34.6640625" style="301" customWidth="1"/>
    <col min="11" max="11" width="32.5" style="301" customWidth="1"/>
    <col min="12" max="16384" width="37.83203125" style="301"/>
  </cols>
  <sheetData>
    <row r="1" spans="2:11" ht="19" thickBot="1"/>
    <row r="2" spans="2:11" ht="19" thickBot="1">
      <c r="B2" s="440" t="s">
        <v>1517</v>
      </c>
      <c r="C2" s="441"/>
      <c r="D2" s="441"/>
      <c r="E2" s="441"/>
      <c r="F2" s="441"/>
      <c r="G2" s="441"/>
      <c r="H2" s="441"/>
      <c r="I2" s="441"/>
      <c r="J2" s="441"/>
      <c r="K2" s="442"/>
    </row>
    <row r="3" spans="2:11" ht="19" thickBot="1">
      <c r="I3" s="324"/>
    </row>
    <row r="4" spans="2:11" ht="19" thickBot="1">
      <c r="B4" s="328" t="s">
        <v>1501</v>
      </c>
      <c r="C4" s="303">
        <v>16</v>
      </c>
      <c r="D4" s="327" t="s">
        <v>1503</v>
      </c>
      <c r="I4" s="324"/>
    </row>
    <row r="5" spans="2:11" ht="19" thickBot="1">
      <c r="B5" s="328" t="s">
        <v>1502</v>
      </c>
      <c r="C5" s="303">
        <v>202</v>
      </c>
      <c r="D5" s="327" t="s">
        <v>1504</v>
      </c>
      <c r="I5" s="324"/>
    </row>
    <row r="6" spans="2:11" ht="19" thickBot="1">
      <c r="I6" s="324"/>
    </row>
    <row r="7" spans="2:11" ht="19" thickBot="1">
      <c r="B7" s="440" t="s">
        <v>243</v>
      </c>
      <c r="C7" s="441"/>
      <c r="D7" s="441"/>
      <c r="E7" s="442"/>
      <c r="F7" s="375">
        <f ca="1" xml:space="preserve"> TODAY( )</f>
        <v>42432</v>
      </c>
      <c r="J7" s="443" t="s">
        <v>1507</v>
      </c>
      <c r="K7" s="444"/>
    </row>
    <row r="8" spans="2:11" ht="19" thickBot="1">
      <c r="I8"/>
      <c r="J8" s="358" t="s">
        <v>643</v>
      </c>
      <c r="K8" s="359" t="s">
        <v>642</v>
      </c>
    </row>
    <row r="9" spans="2:11" ht="19" thickBot="1">
      <c r="B9" s="363" t="s">
        <v>1542</v>
      </c>
      <c r="C9" s="360" t="s">
        <v>168</v>
      </c>
      <c r="D9" s="361" t="s">
        <v>1496</v>
      </c>
      <c r="E9" s="361" t="s">
        <v>642</v>
      </c>
      <c r="F9" s="361" t="s">
        <v>1522</v>
      </c>
      <c r="G9" s="361" t="s">
        <v>1523</v>
      </c>
      <c r="I9"/>
      <c r="J9" s="369" t="str">
        <f>CONCATENATE(ROUNDDOWN(60/$K9,0),"'",ROUNDUP(60*((60/$K9)-ROUNDDOWN(60/$K9,0)),0),"''")</f>
        <v>20'0''</v>
      </c>
      <c r="K9" s="373">
        <v>3</v>
      </c>
    </row>
    <row r="10" spans="2:11" ht="19" thickBot="1">
      <c r="B10" s="363" t="s">
        <v>1494</v>
      </c>
      <c r="C10" s="374">
        <f>E10/$C$4*100</f>
        <v>25</v>
      </c>
      <c r="D10" s="370">
        <v>1.0416666666666666E-2</v>
      </c>
      <c r="E10" s="371">
        <f>60/(MINUTE(D10)+SECOND(D10)/60)</f>
        <v>4</v>
      </c>
      <c r="F10" s="371">
        <f>$C$5*C10/100</f>
        <v>50.5</v>
      </c>
      <c r="G10" s="371">
        <f>$C$5*C10/100</f>
        <v>50.5</v>
      </c>
      <c r="I10" s="324"/>
      <c r="J10" s="370">
        <v>3.8194444444444443E-3</v>
      </c>
      <c r="K10" s="372">
        <f t="shared" ref="K10:K11" si="0">60/((MINUTE(J10)+(SECOND(J10)/60)))</f>
        <v>10.909090909090908</v>
      </c>
    </row>
    <row r="11" spans="2:11" ht="19" thickBot="1">
      <c r="B11" s="366" t="s">
        <v>1495</v>
      </c>
      <c r="C11" s="374">
        <f t="shared" ref="C11:C17" si="1">E11/$C$4*100</f>
        <v>50</v>
      </c>
      <c r="D11" s="370">
        <v>5.208333333333333E-3</v>
      </c>
      <c r="E11" s="371">
        <f t="shared" ref="E11:E17" si="2">60/(MINUTE(D11)+SECOND(D11)/60)</f>
        <v>8</v>
      </c>
      <c r="F11" s="364">
        <v>125</v>
      </c>
      <c r="G11" s="371">
        <f t="shared" ref="G11:G17" si="3">$C$5*C11/100</f>
        <v>101</v>
      </c>
      <c r="I11" s="324"/>
      <c r="J11" s="370">
        <v>6.9444444444444447E-4</v>
      </c>
      <c r="K11" s="372">
        <f t="shared" si="0"/>
        <v>60</v>
      </c>
    </row>
    <row r="12" spans="2:11" ht="19" thickBot="1">
      <c r="B12" s="366" t="s">
        <v>782</v>
      </c>
      <c r="C12" s="374">
        <f t="shared" si="1"/>
        <v>65.217391304347828</v>
      </c>
      <c r="D12" s="370">
        <v>3.9930555555555561E-3</v>
      </c>
      <c r="E12" s="371">
        <f t="shared" si="2"/>
        <v>10.434782608695652</v>
      </c>
      <c r="F12" s="364">
        <v>169</v>
      </c>
      <c r="G12" s="371">
        <f t="shared" si="3"/>
        <v>131.73913043478262</v>
      </c>
      <c r="I12" s="324"/>
      <c r="J12" s="370">
        <v>3.8194444444444443E-3</v>
      </c>
      <c r="K12" s="372">
        <f>60/((MINUTE(J12)+(SECOND(J12)/60)))</f>
        <v>10.909090909090908</v>
      </c>
    </row>
    <row r="13" spans="2:11" ht="19" thickBot="1">
      <c r="B13" s="366" t="s">
        <v>831</v>
      </c>
      <c r="C13" s="374">
        <f t="shared" si="1"/>
        <v>69.875776397515537</v>
      </c>
      <c r="D13" s="370">
        <v>3.7268518518518514E-3</v>
      </c>
      <c r="E13" s="371">
        <f t="shared" si="2"/>
        <v>11.180124223602485</v>
      </c>
      <c r="F13" s="364"/>
      <c r="G13" s="371">
        <f t="shared" si="3"/>
        <v>141.14906832298138</v>
      </c>
      <c r="I13" s="324"/>
      <c r="J13" s="370">
        <v>3.0671296296296297E-3</v>
      </c>
      <c r="K13" s="372">
        <f t="shared" ref="K13:K14" si="4">60/((MINUTE(J13)+(SECOND(J13)/60)))</f>
        <v>13.584905660377357</v>
      </c>
    </row>
    <row r="14" spans="2:11" ht="19" thickBot="1">
      <c r="B14" s="366" t="s">
        <v>1078</v>
      </c>
      <c r="C14" s="374">
        <f t="shared" si="1"/>
        <v>72.58064516129032</v>
      </c>
      <c r="D14" s="370">
        <v>3.5879629629629629E-3</v>
      </c>
      <c r="E14" s="371">
        <f t="shared" si="2"/>
        <v>11.61290322580645</v>
      </c>
      <c r="F14" s="364"/>
      <c r="G14" s="371">
        <f t="shared" si="3"/>
        <v>146.61290322580643</v>
      </c>
      <c r="I14" s="324"/>
      <c r="J14" s="370">
        <v>3.472222222222222E-3</v>
      </c>
      <c r="K14" s="372">
        <f t="shared" si="4"/>
        <v>12</v>
      </c>
    </row>
    <row r="15" spans="2:11" ht="19" thickBot="1">
      <c r="B15" s="366" t="s">
        <v>1341</v>
      </c>
      <c r="C15" s="374">
        <f t="shared" si="1"/>
        <v>75</v>
      </c>
      <c r="D15" s="370">
        <v>3.472222222222222E-3</v>
      </c>
      <c r="E15" s="371">
        <f t="shared" si="2"/>
        <v>12</v>
      </c>
      <c r="F15" s="364"/>
      <c r="G15" s="371">
        <f t="shared" si="3"/>
        <v>151.5</v>
      </c>
      <c r="I15" s="324"/>
    </row>
    <row r="16" spans="2:11" ht="19" thickBot="1">
      <c r="B16" s="366" t="s">
        <v>1509</v>
      </c>
      <c r="C16" s="374">
        <f t="shared" si="1"/>
        <v>78.94736842105263</v>
      </c>
      <c r="D16" s="370">
        <v>3.2986111111111111E-3</v>
      </c>
      <c r="E16" s="371">
        <f t="shared" si="2"/>
        <v>12.631578947368421</v>
      </c>
      <c r="F16" s="364"/>
      <c r="G16" s="371">
        <f t="shared" si="3"/>
        <v>159.47368421052633</v>
      </c>
      <c r="I16" s="324"/>
    </row>
    <row r="17" spans="2:11" ht="19" thickBot="1">
      <c r="B17" s="368" t="s">
        <v>1511</v>
      </c>
      <c r="C17" s="374">
        <f t="shared" si="1"/>
        <v>84.905660377358487</v>
      </c>
      <c r="D17" s="370">
        <v>3.0671296296296297E-3</v>
      </c>
      <c r="E17" s="371">
        <f t="shared" si="2"/>
        <v>13.584905660377357</v>
      </c>
      <c r="F17" s="364"/>
      <c r="G17" s="371">
        <f t="shared" si="3"/>
        <v>171.50943396226415</v>
      </c>
      <c r="H17"/>
    </row>
    <row r="19" spans="2:11" customFormat="1" ht="19" thickBot="1">
      <c r="I19" s="301"/>
      <c r="J19" s="301"/>
      <c r="K19" s="301"/>
    </row>
    <row r="20" spans="2:11" customFormat="1" ht="19" thickBot="1">
      <c r="B20" s="301"/>
      <c r="C20" s="360" t="s">
        <v>168</v>
      </c>
      <c r="D20" s="361" t="s">
        <v>1496</v>
      </c>
      <c r="E20" s="361" t="s">
        <v>642</v>
      </c>
      <c r="F20" s="362" t="s">
        <v>364</v>
      </c>
      <c r="I20" s="301"/>
      <c r="J20" s="301"/>
      <c r="K20" s="301"/>
    </row>
    <row r="21" spans="2:11" customFormat="1" ht="19" thickBot="1">
      <c r="B21" s="363" t="s">
        <v>1494</v>
      </c>
      <c r="C21" s="364">
        <v>25</v>
      </c>
      <c r="D21" s="334" t="str">
        <f t="shared" ref="D21:D29" si="5">CONCATENATE(ROUNDDOWN(60/$E21,0),"'",ROUNDUP(60*((60/$E21)-ROUNDDOWN(60/$E21,0)),0),"''")</f>
        <v>15'0''</v>
      </c>
      <c r="E21" s="326">
        <f t="shared" ref="E21:E23" si="6">C21*$C$4/100</f>
        <v>4</v>
      </c>
      <c r="F21" s="365" t="s">
        <v>1506</v>
      </c>
    </row>
    <row r="22" spans="2:11" customFormat="1" ht="19" thickBot="1">
      <c r="B22" s="366" t="s">
        <v>1495</v>
      </c>
      <c r="C22" s="364">
        <v>50</v>
      </c>
      <c r="D22" s="334" t="str">
        <f t="shared" si="5"/>
        <v>7'30''</v>
      </c>
      <c r="E22" s="326">
        <f t="shared" si="6"/>
        <v>8</v>
      </c>
      <c r="F22" s="367" t="s">
        <v>1498</v>
      </c>
      <c r="I22" s="445" t="s">
        <v>1513</v>
      </c>
      <c r="J22" s="446"/>
      <c r="K22" s="447"/>
    </row>
    <row r="23" spans="2:11" customFormat="1" ht="19" thickBot="1">
      <c r="B23" s="366" t="s">
        <v>1519</v>
      </c>
      <c r="C23" s="364">
        <v>60</v>
      </c>
      <c r="D23" s="334" t="str">
        <f t="shared" si="5"/>
        <v>6'15''</v>
      </c>
      <c r="E23" s="326">
        <f t="shared" si="6"/>
        <v>9.6</v>
      </c>
      <c r="F23" s="367" t="s">
        <v>1520</v>
      </c>
      <c r="I23" s="360" t="s">
        <v>1514</v>
      </c>
      <c r="J23" s="361" t="s">
        <v>1515</v>
      </c>
      <c r="K23" s="362" t="s">
        <v>1516</v>
      </c>
    </row>
    <row r="24" spans="2:11" customFormat="1" ht="19" thickBot="1">
      <c r="B24" s="366" t="s">
        <v>782</v>
      </c>
      <c r="C24" s="364">
        <v>65</v>
      </c>
      <c r="D24" s="334" t="str">
        <f t="shared" si="5"/>
        <v>5'47''</v>
      </c>
      <c r="E24" s="326">
        <f t="shared" ref="E24:E29" si="7">C24*$C$4/100</f>
        <v>10.4</v>
      </c>
      <c r="F24" s="367" t="s">
        <v>1497</v>
      </c>
      <c r="I24" s="376">
        <v>42195</v>
      </c>
      <c r="J24" s="383">
        <f>VALUE(CONCATENATE(RIGHT(CONCATENATE("0",INT(I24/(1000*K24))),2),":",INT(60*(I24/(1000*K24)-INT(I24/(1000*K24)))),":","00"))</f>
        <v>0.15694444444444444</v>
      </c>
      <c r="K24" s="377">
        <v>11.2</v>
      </c>
    </row>
    <row r="25" spans="2:11" customFormat="1" ht="19" thickBot="1">
      <c r="B25" s="366" t="s">
        <v>831</v>
      </c>
      <c r="C25" s="364">
        <v>70</v>
      </c>
      <c r="D25" s="334" t="str">
        <f t="shared" si="5"/>
        <v>5'22''</v>
      </c>
      <c r="E25" s="326">
        <f t="shared" si="7"/>
        <v>11.2</v>
      </c>
      <c r="F25" s="367" t="s">
        <v>1499</v>
      </c>
      <c r="I25" s="378">
        <v>21000</v>
      </c>
      <c r="J25" s="379">
        <f t="shared" ref="J25:J27" si="8">VALUE(CONCATENATE(RIGHT(CONCATENATE("0",INT(I25/(1000*K25))),2),":",INT(60*(I25/(1000*K25)-INT(I25/(1000*K25)))),":","00"))</f>
        <v>7.7777777777777779E-2</v>
      </c>
      <c r="K25" s="380">
        <f>E26</f>
        <v>11.2</v>
      </c>
    </row>
    <row r="26" spans="2:11" customFormat="1" ht="19" thickBot="1">
      <c r="B26" s="366" t="s">
        <v>1078</v>
      </c>
      <c r="C26" s="364">
        <v>70</v>
      </c>
      <c r="D26" s="334" t="str">
        <f t="shared" si="5"/>
        <v>5'22''</v>
      </c>
      <c r="E26" s="326">
        <f t="shared" si="7"/>
        <v>11.2</v>
      </c>
      <c r="F26" s="367" t="s">
        <v>1500</v>
      </c>
      <c r="I26" s="378">
        <v>10000</v>
      </c>
      <c r="J26" s="379">
        <f t="shared" si="8"/>
        <v>3.0555555555555555E-2</v>
      </c>
      <c r="K26" s="380">
        <v>13.6</v>
      </c>
    </row>
    <row r="27" spans="2:11" customFormat="1" ht="19" thickBot="1">
      <c r="B27" s="366" t="s">
        <v>1341</v>
      </c>
      <c r="C27" s="364">
        <v>80</v>
      </c>
      <c r="D27" s="334" t="str">
        <f t="shared" si="5"/>
        <v>4'42''</v>
      </c>
      <c r="E27" s="326">
        <f t="shared" si="7"/>
        <v>12.8</v>
      </c>
      <c r="F27" s="367" t="s">
        <v>1510</v>
      </c>
      <c r="I27" s="378">
        <v>8000</v>
      </c>
      <c r="J27" s="379">
        <f t="shared" si="8"/>
        <v>2.4999999999999998E-2</v>
      </c>
      <c r="K27" s="380">
        <f>E28</f>
        <v>13.2</v>
      </c>
    </row>
    <row r="28" spans="2:11" customFormat="1" ht="19" thickBot="1">
      <c r="B28" s="366" t="s">
        <v>1509</v>
      </c>
      <c r="C28" s="364">
        <v>82.5</v>
      </c>
      <c r="D28" s="334" t="str">
        <f t="shared" si="5"/>
        <v>4'33''</v>
      </c>
      <c r="E28" s="326">
        <f t="shared" si="7"/>
        <v>13.2</v>
      </c>
      <c r="F28" s="367" t="s">
        <v>1508</v>
      </c>
      <c r="I28" s="381">
        <v>21000</v>
      </c>
      <c r="J28" s="384">
        <f>VALUE(CONCATENATE(RIGHT(CONCATENATE("0",INT(I28/(1000*K28))),2),":",INT(60*(I28/(1000*K28)-INT(I28/(1000*K28)))),":","00"))</f>
        <v>7.2916666666666671E-2</v>
      </c>
      <c r="K28" s="382">
        <v>12</v>
      </c>
    </row>
    <row r="29" spans="2:11" customFormat="1" ht="19" thickBot="1">
      <c r="B29" s="368" t="s">
        <v>1511</v>
      </c>
      <c r="C29" s="364">
        <v>85</v>
      </c>
      <c r="D29" s="334" t="str">
        <f t="shared" si="5"/>
        <v>4'25''</v>
      </c>
      <c r="E29" s="326">
        <f t="shared" si="7"/>
        <v>13.6</v>
      </c>
      <c r="F29" s="367" t="s">
        <v>1512</v>
      </c>
    </row>
    <row r="30" spans="2:11" customFormat="1" ht="12"/>
    <row r="31" spans="2:11" customFormat="1" ht="13" thickBot="1"/>
    <row r="32" spans="2:11" customFormat="1" ht="19" thickBot="1">
      <c r="B32" s="440" t="s">
        <v>1505</v>
      </c>
      <c r="C32" s="441"/>
      <c r="D32" s="441"/>
      <c r="E32" s="441"/>
      <c r="F32" s="441"/>
      <c r="G32" s="441"/>
      <c r="H32" s="441"/>
      <c r="I32" s="441"/>
      <c r="J32" s="441"/>
      <c r="K32" s="442"/>
    </row>
    <row r="33" spans="1:14" ht="19" thickBot="1"/>
    <row r="34" spans="1:14">
      <c r="A34" s="308"/>
      <c r="B34" s="308"/>
      <c r="C34" s="431" t="s">
        <v>194</v>
      </c>
      <c r="D34" s="432"/>
      <c r="E34" s="433"/>
      <c r="F34" s="434" t="s">
        <v>195</v>
      </c>
      <c r="G34" s="435"/>
      <c r="H34" s="436" t="s">
        <v>196</v>
      </c>
      <c r="I34" s="437"/>
      <c r="J34" s="438"/>
      <c r="K34" s="309" t="s">
        <v>197</v>
      </c>
      <c r="L34" s="308"/>
      <c r="M34" s="308"/>
    </row>
    <row r="35" spans="1:14">
      <c r="A35" s="308"/>
      <c r="B35" s="308"/>
      <c r="C35" s="310" t="s">
        <v>198</v>
      </c>
      <c r="D35" s="311" t="s">
        <v>199</v>
      </c>
      <c r="E35" s="312"/>
      <c r="F35" s="313"/>
      <c r="G35" s="314"/>
      <c r="H35" s="315"/>
      <c r="I35" s="316"/>
      <c r="J35" s="316"/>
      <c r="K35" s="317"/>
      <c r="L35" s="308"/>
    </row>
    <row r="36" spans="1:14" ht="19" thickBot="1">
      <c r="A36" s="308"/>
      <c r="B36" s="318"/>
      <c r="C36" s="310" t="s">
        <v>200</v>
      </c>
      <c r="D36" s="311" t="s">
        <v>201</v>
      </c>
      <c r="E36" s="312"/>
      <c r="F36" s="319" t="s">
        <v>202</v>
      </c>
      <c r="G36" s="320"/>
      <c r="H36" s="321" t="s">
        <v>203</v>
      </c>
      <c r="I36" s="322"/>
      <c r="J36" s="322"/>
      <c r="K36" s="323"/>
      <c r="L36" s="308"/>
    </row>
    <row r="37" spans="1:14" ht="19" thickBot="1">
      <c r="B37" s="302" t="s">
        <v>168</v>
      </c>
      <c r="C37" s="330">
        <v>0.6</v>
      </c>
      <c r="D37" s="330">
        <v>0.7</v>
      </c>
      <c r="E37" s="330">
        <v>0.75</v>
      </c>
      <c r="F37" s="331">
        <v>0.8</v>
      </c>
      <c r="G37" s="331">
        <v>0.85</v>
      </c>
      <c r="H37" s="332">
        <v>0.9</v>
      </c>
      <c r="I37" s="332">
        <v>1</v>
      </c>
      <c r="J37" s="332">
        <v>1.05</v>
      </c>
      <c r="K37" s="333">
        <v>1.1000000000000001</v>
      </c>
      <c r="L37" s="308"/>
    </row>
    <row r="38" spans="1:14" ht="19" thickBot="1">
      <c r="B38" s="302" t="s">
        <v>204</v>
      </c>
      <c r="C38" s="334">
        <f t="shared" ref="C38:K38" si="9">C37*$C$4</f>
        <v>9.6</v>
      </c>
      <c r="D38" s="335">
        <f t="shared" si="9"/>
        <v>11.2</v>
      </c>
      <c r="E38" s="335">
        <f t="shared" si="9"/>
        <v>12</v>
      </c>
      <c r="F38" s="336">
        <f t="shared" si="9"/>
        <v>12.8</v>
      </c>
      <c r="G38" s="337">
        <f t="shared" si="9"/>
        <v>13.6</v>
      </c>
      <c r="H38" s="338">
        <f t="shared" si="9"/>
        <v>14.4</v>
      </c>
      <c r="I38" s="338">
        <f t="shared" si="9"/>
        <v>16</v>
      </c>
      <c r="J38" s="338">
        <f t="shared" si="9"/>
        <v>16.8</v>
      </c>
      <c r="K38" s="339">
        <f t="shared" si="9"/>
        <v>17.600000000000001</v>
      </c>
      <c r="L38" s="308"/>
    </row>
    <row r="39" spans="1:14" ht="19" thickBot="1">
      <c r="B39" s="302" t="s">
        <v>1489</v>
      </c>
      <c r="C39" s="334" t="str">
        <f>CONCATENATE(ROUNDDOWN(60/C$38,0),"'",ROUNDUP(60*((60/C$38)-ROUNDDOWN(60/C$38,0)),0),"''")</f>
        <v>6'15''</v>
      </c>
      <c r="D39" s="335" t="str">
        <f>CONCATENATE(ROUNDDOWN(60/D$38,0),"'",ROUNDUP(60*((60/D$38)-ROUNDDOWN(60/D$38,0)),0),"''")</f>
        <v>5'22''</v>
      </c>
      <c r="E39" s="335" t="str">
        <f>CONCATENATE(ROUNDDOWN(60/E$38,0),"'",ROUNDUP(60*((60/E$38)-ROUNDDOWN(60/E$38,0)),0),"''")</f>
        <v>5'0''</v>
      </c>
      <c r="F39" s="336" t="str">
        <f>CONCATENATE(ROUNDDOWN(60/F$38,0),"'",ROUNDUP(60*((60/F$38)-ROUNDDOWN(60/F$38,0)),0),"''")</f>
        <v>4'42''</v>
      </c>
      <c r="G39" s="337" t="str">
        <f t="shared" ref="G39:K39" si="10">CONCATENATE(ROUNDDOWN(60/G$38,0),"'",ROUNDUP(60*((60/G$38)-ROUNDDOWN(60/G$38,0)),0),"''")</f>
        <v>4'25''</v>
      </c>
      <c r="H39" s="338" t="str">
        <f t="shared" si="10"/>
        <v>4'10''</v>
      </c>
      <c r="I39" s="338" t="str">
        <f t="shared" si="10"/>
        <v>3'45''</v>
      </c>
      <c r="J39" s="338" t="str">
        <f t="shared" si="10"/>
        <v>3'35''</v>
      </c>
      <c r="K39" s="339" t="str">
        <f t="shared" si="10"/>
        <v>3'25''</v>
      </c>
      <c r="L39" s="308"/>
    </row>
    <row r="40" spans="1:14" ht="19" thickBot="1">
      <c r="B40" s="302" t="s">
        <v>205</v>
      </c>
      <c r="C40" s="340">
        <f t="shared" ref="C40:K40" si="11">C37*$C$5</f>
        <v>121.19999999999999</v>
      </c>
      <c r="D40" s="340">
        <f t="shared" si="11"/>
        <v>141.39999999999998</v>
      </c>
      <c r="E40" s="340">
        <f t="shared" si="11"/>
        <v>151.5</v>
      </c>
      <c r="F40" s="341">
        <f t="shared" si="11"/>
        <v>161.60000000000002</v>
      </c>
      <c r="G40" s="341">
        <f t="shared" si="11"/>
        <v>171.7</v>
      </c>
      <c r="H40" s="342">
        <f t="shared" si="11"/>
        <v>181.8</v>
      </c>
      <c r="I40" s="342">
        <f t="shared" si="11"/>
        <v>202</v>
      </c>
      <c r="J40" s="342">
        <f t="shared" si="11"/>
        <v>212.10000000000002</v>
      </c>
      <c r="K40" s="343">
        <f t="shared" si="11"/>
        <v>222.20000000000002</v>
      </c>
      <c r="L40" s="308"/>
      <c r="M40" s="308"/>
    </row>
    <row r="41" spans="1:14" ht="19" thickBot="1">
      <c r="B41" s="302" t="s">
        <v>207</v>
      </c>
      <c r="C41" s="344" t="s">
        <v>208</v>
      </c>
      <c r="D41" s="345" t="s">
        <v>209</v>
      </c>
      <c r="E41" s="345"/>
      <c r="F41" s="346" t="s">
        <v>210</v>
      </c>
      <c r="G41" s="346"/>
      <c r="H41" s="347"/>
      <c r="I41" s="347" t="s">
        <v>211</v>
      </c>
      <c r="J41" s="347"/>
      <c r="K41" s="348" t="s">
        <v>212</v>
      </c>
    </row>
    <row r="42" spans="1:14" ht="19" thickBot="1">
      <c r="B42" s="302" t="s">
        <v>213</v>
      </c>
      <c r="C42" s="349" t="s">
        <v>214</v>
      </c>
      <c r="D42" s="349" t="s">
        <v>215</v>
      </c>
      <c r="E42" s="349"/>
      <c r="F42" s="346" t="s">
        <v>216</v>
      </c>
      <c r="G42" s="350">
        <v>15.299999999999999</v>
      </c>
      <c r="H42" s="347" t="s">
        <v>217</v>
      </c>
      <c r="I42" s="351">
        <v>2.7</v>
      </c>
      <c r="J42" s="352">
        <v>390</v>
      </c>
      <c r="K42" s="353">
        <v>165</v>
      </c>
    </row>
    <row r="43" spans="1:14" ht="19" thickBot="1">
      <c r="B43" s="302" t="s">
        <v>218</v>
      </c>
      <c r="C43" s="354">
        <v>49</v>
      </c>
      <c r="D43" s="354"/>
      <c r="E43" s="354"/>
      <c r="F43" s="355">
        <v>10.5</v>
      </c>
      <c r="G43" s="355"/>
      <c r="H43" s="356">
        <v>7</v>
      </c>
      <c r="I43" s="356"/>
      <c r="J43" s="356"/>
      <c r="K43" s="357">
        <v>3.5</v>
      </c>
    </row>
    <row r="44" spans="1:14" ht="19" thickBot="1">
      <c r="B44" s="302" t="s">
        <v>1485</v>
      </c>
      <c r="C44" s="308"/>
      <c r="D44" s="304" t="s">
        <v>1486</v>
      </c>
      <c r="E44" s="305"/>
      <c r="F44" s="325"/>
      <c r="G44" s="306" t="s">
        <v>1487</v>
      </c>
      <c r="H44" s="308"/>
      <c r="I44" s="308"/>
      <c r="J44" s="308"/>
      <c r="K44" s="329" t="s">
        <v>1488</v>
      </c>
      <c r="L44" s="308"/>
      <c r="M44" s="308"/>
      <c r="N44" s="308"/>
    </row>
    <row r="46" spans="1:14">
      <c r="B46" s="439" t="s">
        <v>206</v>
      </c>
      <c r="C46" s="439"/>
    </row>
    <row r="47" spans="1:14">
      <c r="B47" s="439"/>
      <c r="C47" s="439"/>
    </row>
    <row r="48" spans="1:14" ht="19" thickBot="1">
      <c r="B48" s="439"/>
      <c r="C48" s="439"/>
    </row>
    <row r="49" spans="2:3" ht="19" thickBot="1">
      <c r="B49" s="307">
        <v>70</v>
      </c>
      <c r="C49" s="308"/>
    </row>
  </sheetData>
  <mergeCells count="9">
    <mergeCell ref="C34:E34"/>
    <mergeCell ref="F34:G34"/>
    <mergeCell ref="H34:J34"/>
    <mergeCell ref="B46:C48"/>
    <mergeCell ref="B2:K2"/>
    <mergeCell ref="B32:K32"/>
    <mergeCell ref="J7:K7"/>
    <mergeCell ref="I22:K22"/>
    <mergeCell ref="B7:E7"/>
  </mergeCells>
  <hyperlinks>
    <hyperlink ref="F36:G36" location="seuil!O9" tooltip="Aller sur la feuille SEUIL" display="footing rapide (seuil)"/>
    <hyperlink ref="H36:J36"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9"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48" t="s">
        <v>405</v>
      </c>
      <c r="C2" s="449"/>
      <c r="D2" s="449"/>
      <c r="E2" s="449"/>
      <c r="F2" s="449"/>
      <c r="G2" s="449"/>
      <c r="H2" s="449"/>
      <c r="I2" s="449"/>
      <c r="J2" s="449"/>
      <c r="K2" s="449"/>
      <c r="L2" s="449"/>
      <c r="M2" s="449"/>
      <c r="N2" s="449"/>
      <c r="O2" s="449"/>
      <c r="P2" s="449"/>
      <c r="Q2" s="449"/>
      <c r="R2" s="449"/>
      <c r="S2" s="449"/>
      <c r="T2" s="449"/>
      <c r="U2" s="449"/>
      <c r="V2" s="449"/>
      <c r="W2" s="449"/>
      <c r="X2" s="449"/>
      <c r="Y2" s="450"/>
    </row>
    <row r="3" spans="2:25" ht="13" thickBot="1"/>
    <row r="4" spans="2:25" ht="18" thickBot="1">
      <c r="B4" s="448" t="s">
        <v>406</v>
      </c>
      <c r="C4" s="449"/>
      <c r="D4" s="449"/>
      <c r="E4" s="449"/>
      <c r="F4" s="449"/>
      <c r="G4" s="449"/>
      <c r="H4" s="449"/>
      <c r="I4" s="449"/>
      <c r="J4" s="449"/>
      <c r="K4" s="449"/>
      <c r="L4" s="449"/>
      <c r="M4" s="449"/>
      <c r="N4" s="449"/>
      <c r="O4" s="449"/>
      <c r="P4" s="449"/>
      <c r="Q4" s="449"/>
      <c r="R4" s="449"/>
      <c r="S4" s="449"/>
      <c r="T4" s="449"/>
      <c r="U4" s="449"/>
      <c r="V4" s="449"/>
      <c r="W4" s="449"/>
      <c r="X4" s="449"/>
      <c r="Y4" s="450"/>
    </row>
    <row r="5" spans="2:25" ht="13" thickBot="1"/>
    <row r="6" spans="2:25" ht="162" thickBot="1">
      <c r="B6" s="202" t="s">
        <v>387</v>
      </c>
      <c r="C6" s="203" t="s">
        <v>394</v>
      </c>
      <c r="D6" s="203" t="s">
        <v>395</v>
      </c>
      <c r="E6" s="203" t="s">
        <v>396</v>
      </c>
      <c r="F6" s="203" t="s">
        <v>397</v>
      </c>
      <c r="G6" s="203" t="s">
        <v>398</v>
      </c>
      <c r="H6" s="203" t="s">
        <v>399</v>
      </c>
      <c r="I6" s="203" t="s">
        <v>400</v>
      </c>
      <c r="J6" s="203" t="s">
        <v>401</v>
      </c>
      <c r="K6" s="203" t="s">
        <v>389</v>
      </c>
      <c r="L6" s="203" t="s">
        <v>388</v>
      </c>
      <c r="M6" s="203" t="s">
        <v>402</v>
      </c>
      <c r="N6" s="203" t="s">
        <v>403</v>
      </c>
      <c r="O6" s="203" t="s">
        <v>390</v>
      </c>
      <c r="P6" s="203" t="s">
        <v>391</v>
      </c>
      <c r="Q6" s="203" t="s">
        <v>404</v>
      </c>
      <c r="R6" s="203" t="s">
        <v>408</v>
      </c>
      <c r="S6" s="203" t="s">
        <v>409</v>
      </c>
      <c r="T6" s="203" t="s">
        <v>392</v>
      </c>
      <c r="U6" s="203" t="s">
        <v>410</v>
      </c>
      <c r="V6" s="203" t="s">
        <v>411</v>
      </c>
      <c r="W6" s="203" t="s">
        <v>412</v>
      </c>
      <c r="X6" s="203" t="s">
        <v>413</v>
      </c>
      <c r="Y6" s="203" t="s">
        <v>414</v>
      </c>
    </row>
    <row r="7" spans="2:25" ht="23" customHeight="1" thickBot="1">
      <c r="B7" s="204" t="s">
        <v>88</v>
      </c>
      <c r="C7" s="201" t="s">
        <v>393</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89</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90</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91</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97</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99</v>
      </c>
      <c r="C12" s="201"/>
      <c r="D12" s="201"/>
      <c r="E12" s="201"/>
      <c r="F12" s="201"/>
      <c r="G12" s="201"/>
      <c r="H12" s="201"/>
      <c r="I12" s="201"/>
      <c r="J12" s="201"/>
      <c r="K12" s="201"/>
      <c r="L12" s="201"/>
      <c r="M12" s="201"/>
      <c r="N12" s="201" t="s">
        <v>393</v>
      </c>
      <c r="O12" s="201"/>
      <c r="P12" s="201"/>
      <c r="Q12" s="201"/>
      <c r="R12" s="201"/>
      <c r="S12" s="201"/>
      <c r="T12" s="201"/>
      <c r="U12" s="201"/>
      <c r="V12" s="201"/>
      <c r="W12" s="201"/>
      <c r="X12" s="201"/>
      <c r="Y12" s="201"/>
    </row>
    <row r="13" spans="2:25" ht="23" customHeight="1" thickBot="1">
      <c r="B13" s="204" t="s">
        <v>100</v>
      </c>
      <c r="C13" s="201"/>
      <c r="D13" s="201"/>
      <c r="E13" s="201"/>
      <c r="F13" s="201"/>
      <c r="G13" s="201"/>
      <c r="H13" s="201"/>
      <c r="I13" s="201"/>
      <c r="J13" s="201"/>
      <c r="K13" s="201"/>
      <c r="L13" s="201"/>
      <c r="M13" s="201"/>
      <c r="N13" s="201" t="s">
        <v>393</v>
      </c>
      <c r="O13" s="201"/>
      <c r="P13" s="201"/>
      <c r="Q13" s="201"/>
      <c r="R13" s="201"/>
      <c r="S13" s="201"/>
      <c r="T13" s="201"/>
      <c r="U13" s="201"/>
      <c r="V13" s="201"/>
      <c r="W13" s="201"/>
      <c r="X13" s="201"/>
      <c r="Y13" s="201"/>
    </row>
    <row r="14" spans="2:25" ht="23" customHeight="1" thickBot="1">
      <c r="B14" s="204" t="s">
        <v>385</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386</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48" t="s">
        <v>407</v>
      </c>
      <c r="C17" s="449"/>
      <c r="D17" s="449"/>
      <c r="E17" s="449"/>
      <c r="F17" s="449"/>
      <c r="G17" s="449"/>
      <c r="H17" s="449"/>
      <c r="I17" s="449"/>
      <c r="J17" s="449"/>
      <c r="K17" s="449"/>
      <c r="L17" s="449"/>
      <c r="M17" s="449"/>
      <c r="N17" s="449"/>
      <c r="O17" s="449"/>
      <c r="P17" s="449"/>
      <c r="Q17" s="449"/>
      <c r="R17" s="449"/>
      <c r="S17" s="449"/>
      <c r="T17" s="449"/>
      <c r="U17" s="449"/>
      <c r="V17" s="449"/>
      <c r="W17" s="449"/>
      <c r="X17" s="449"/>
      <c r="Y17" s="450"/>
    </row>
    <row r="18" spans="2:25" ht="13" thickBot="1"/>
    <row r="19" spans="2:25" ht="162" thickBot="1">
      <c r="B19" s="202" t="s">
        <v>387</v>
      </c>
      <c r="C19" s="203" t="s">
        <v>394</v>
      </c>
      <c r="D19" s="203" t="s">
        <v>395</v>
      </c>
      <c r="E19" s="203" t="s">
        <v>396</v>
      </c>
      <c r="F19" s="203" t="s">
        <v>397</v>
      </c>
      <c r="G19" s="203" t="s">
        <v>398</v>
      </c>
      <c r="H19" s="203" t="s">
        <v>399</v>
      </c>
      <c r="I19" s="203" t="s">
        <v>400</v>
      </c>
      <c r="J19" s="203" t="s">
        <v>401</v>
      </c>
      <c r="K19" s="203" t="s">
        <v>389</v>
      </c>
      <c r="L19" s="203" t="s">
        <v>388</v>
      </c>
      <c r="M19" s="203" t="s">
        <v>402</v>
      </c>
      <c r="N19" s="203" t="s">
        <v>403</v>
      </c>
      <c r="O19" s="203" t="s">
        <v>390</v>
      </c>
      <c r="P19" s="203" t="s">
        <v>391</v>
      </c>
      <c r="Q19" s="203" t="s">
        <v>404</v>
      </c>
      <c r="R19" s="203" t="s">
        <v>408</v>
      </c>
      <c r="S19" s="203" t="s">
        <v>409</v>
      </c>
      <c r="T19" s="203" t="s">
        <v>392</v>
      </c>
      <c r="U19" s="203" t="s">
        <v>410</v>
      </c>
      <c r="V19" s="203" t="s">
        <v>411</v>
      </c>
      <c r="W19" s="203" t="s">
        <v>412</v>
      </c>
      <c r="X19" s="203" t="s">
        <v>413</v>
      </c>
      <c r="Y19" s="203" t="s">
        <v>414</v>
      </c>
    </row>
    <row r="20" spans="2:25" ht="16" thickBot="1">
      <c r="B20" s="204" t="s">
        <v>88</v>
      </c>
      <c r="C20" s="201" t="s">
        <v>393</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89</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90</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91</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97</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99</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100</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385</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386</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411" t="s">
        <v>119</v>
      </c>
      <c r="C2" s="412"/>
      <c r="D2" s="412"/>
      <c r="E2" s="412"/>
      <c r="F2" s="412"/>
      <c r="G2" s="412"/>
      <c r="H2" s="412"/>
      <c r="I2" s="412"/>
      <c r="J2" s="413"/>
    </row>
    <row r="3" spans="2:10" ht="13" thickBot="1"/>
    <row r="4" spans="2:10" ht="13" thickBot="1">
      <c r="B4" s="414" t="s">
        <v>76</v>
      </c>
      <c r="C4" s="416"/>
      <c r="E4" s="414" t="s">
        <v>87</v>
      </c>
      <c r="F4" s="415"/>
      <c r="G4" s="416"/>
      <c r="I4" s="414" t="s">
        <v>115</v>
      </c>
      <c r="J4" s="416"/>
    </row>
    <row r="5" spans="2:10" ht="13" thickBot="1">
      <c r="E5" s="3"/>
      <c r="F5" s="3"/>
      <c r="I5" s="3"/>
    </row>
    <row r="6" spans="2:10" ht="14" thickBot="1">
      <c r="B6" s="20" t="s">
        <v>78</v>
      </c>
      <c r="C6" s="12" t="s">
        <v>77</v>
      </c>
      <c r="E6" s="20" t="s">
        <v>78</v>
      </c>
      <c r="F6" s="20" t="s">
        <v>77</v>
      </c>
      <c r="G6" s="12" t="s">
        <v>92</v>
      </c>
      <c r="I6" s="20" t="s">
        <v>78</v>
      </c>
      <c r="J6" s="12" t="s">
        <v>77</v>
      </c>
    </row>
    <row r="7" spans="2:10" ht="14" thickBot="1">
      <c r="B7" s="17" t="s">
        <v>79</v>
      </c>
      <c r="C7" s="6" t="s">
        <v>86</v>
      </c>
      <c r="E7" s="17" t="s">
        <v>88</v>
      </c>
      <c r="F7" s="17" t="s">
        <v>112</v>
      </c>
      <c r="G7" s="6" t="s">
        <v>88</v>
      </c>
      <c r="I7" s="17" t="s">
        <v>118</v>
      </c>
      <c r="J7" s="6">
        <v>0</v>
      </c>
    </row>
    <row r="8" spans="2:10" ht="14" thickBot="1">
      <c r="B8" s="17" t="s">
        <v>80</v>
      </c>
      <c r="C8" s="6" t="s">
        <v>85</v>
      </c>
      <c r="E8" s="17" t="s">
        <v>89</v>
      </c>
      <c r="F8" s="17" t="s">
        <v>107</v>
      </c>
      <c r="G8" s="6" t="s">
        <v>93</v>
      </c>
      <c r="I8" s="17" t="s">
        <v>117</v>
      </c>
      <c r="J8" s="6">
        <v>1</v>
      </c>
    </row>
    <row r="9" spans="2:10" ht="14" thickBot="1">
      <c r="B9" s="17" t="s">
        <v>81</v>
      </c>
      <c r="C9" s="6" t="s">
        <v>84</v>
      </c>
      <c r="E9" s="17" t="s">
        <v>90</v>
      </c>
      <c r="F9" s="17" t="s">
        <v>108</v>
      </c>
      <c r="G9" s="6" t="s">
        <v>94</v>
      </c>
      <c r="I9" s="17" t="s">
        <v>116</v>
      </c>
      <c r="J9" s="6">
        <v>2</v>
      </c>
    </row>
    <row r="10" spans="2:10" ht="14" thickBot="1">
      <c r="B10" s="17" t="s">
        <v>82</v>
      </c>
      <c r="C10" s="6" t="s">
        <v>83</v>
      </c>
      <c r="E10" s="17" t="s">
        <v>91</v>
      </c>
      <c r="F10" s="17" t="s">
        <v>109</v>
      </c>
      <c r="G10" s="6" t="s">
        <v>96</v>
      </c>
    </row>
    <row r="11" spans="2:10" ht="14" thickBot="1">
      <c r="E11" s="17" t="s">
        <v>97</v>
      </c>
      <c r="F11" s="17" t="s">
        <v>110</v>
      </c>
      <c r="G11" s="6" t="s">
        <v>98</v>
      </c>
      <c r="I11" s="20" t="s">
        <v>137</v>
      </c>
    </row>
    <row r="12" spans="2:10" ht="13" thickBot="1">
      <c r="E12" s="19" t="s">
        <v>99</v>
      </c>
      <c r="F12" s="19" t="s">
        <v>111</v>
      </c>
      <c r="G12" s="19" t="s">
        <v>102</v>
      </c>
      <c r="I12" s="17" t="s">
        <v>138</v>
      </c>
    </row>
    <row r="13" spans="2:10" ht="14" thickBot="1">
      <c r="E13" s="17" t="s">
        <v>100</v>
      </c>
      <c r="F13" s="17" t="s">
        <v>113</v>
      </c>
      <c r="G13" s="6" t="s">
        <v>101</v>
      </c>
      <c r="I13" s="17" t="s">
        <v>139</v>
      </c>
    </row>
    <row r="15" spans="2:10" ht="13" thickBot="1">
      <c r="B15"/>
    </row>
    <row r="16" spans="2:10" ht="13" thickBot="1">
      <c r="B16" s="414" t="s">
        <v>120</v>
      </c>
      <c r="C16" s="416"/>
      <c r="E16" s="414" t="s">
        <v>166</v>
      </c>
      <c r="F16" s="415"/>
      <c r="G16" s="415"/>
      <c r="H16" s="415"/>
      <c r="I16" s="416"/>
    </row>
    <row r="17" spans="2:10" ht="13" thickBot="1">
      <c r="B17"/>
      <c r="E17" s="3"/>
      <c r="F17" s="3"/>
    </row>
    <row r="18" spans="2:10" ht="14" thickBot="1">
      <c r="B18" s="18" t="s">
        <v>121</v>
      </c>
      <c r="E18" s="20" t="s">
        <v>167</v>
      </c>
      <c r="F18" s="20" t="s">
        <v>168</v>
      </c>
      <c r="G18" s="20" t="s">
        <v>327</v>
      </c>
      <c r="H18" s="12" t="s">
        <v>169</v>
      </c>
      <c r="I18" s="12" t="s">
        <v>335</v>
      </c>
    </row>
    <row r="19" spans="2:10" ht="14" thickBot="1">
      <c r="B19"/>
      <c r="E19" s="35">
        <v>0</v>
      </c>
      <c r="F19" s="35"/>
      <c r="G19" s="187"/>
      <c r="H19" s="189" t="s">
        <v>336</v>
      </c>
      <c r="I19" s="189" t="s">
        <v>337</v>
      </c>
    </row>
    <row r="20" spans="2:10" ht="14" thickBot="1">
      <c r="B20"/>
      <c r="E20" s="35">
        <v>1</v>
      </c>
      <c r="F20" s="35">
        <v>60</v>
      </c>
      <c r="G20" s="187" t="s">
        <v>328</v>
      </c>
      <c r="H20" s="189" t="s">
        <v>170</v>
      </c>
      <c r="I20" s="189" t="s">
        <v>100</v>
      </c>
    </row>
    <row r="21" spans="2:10" ht="14" thickBot="1">
      <c r="B21"/>
      <c r="E21" s="35">
        <v>2</v>
      </c>
      <c r="F21" s="35">
        <v>70</v>
      </c>
      <c r="G21" s="187" t="s">
        <v>329</v>
      </c>
      <c r="H21" s="189" t="s">
        <v>171</v>
      </c>
      <c r="I21" s="189" t="s">
        <v>90</v>
      </c>
    </row>
    <row r="22" spans="2:10" ht="13" thickBot="1">
      <c r="B22"/>
      <c r="E22" s="28">
        <v>3</v>
      </c>
      <c r="F22" s="190">
        <v>80</v>
      </c>
      <c r="G22" s="188" t="s">
        <v>330</v>
      </c>
      <c r="H22" s="27" t="s">
        <v>332</v>
      </c>
      <c r="I22" s="27" t="s">
        <v>89</v>
      </c>
    </row>
    <row r="23" spans="2:10" ht="13" thickBot="1">
      <c r="B23"/>
      <c r="E23" s="28">
        <v>4</v>
      </c>
      <c r="F23" s="190">
        <v>85</v>
      </c>
      <c r="G23" s="188" t="s">
        <v>330</v>
      </c>
      <c r="H23" s="27" t="s">
        <v>334</v>
      </c>
      <c r="I23" s="27" t="s">
        <v>338</v>
      </c>
      <c r="J23">
        <v>155</v>
      </c>
    </row>
    <row r="24" spans="2:10" ht="13" thickBot="1">
      <c r="B24"/>
      <c r="E24" s="28">
        <v>5</v>
      </c>
      <c r="F24" s="190">
        <v>90</v>
      </c>
      <c r="G24" s="188" t="s">
        <v>331</v>
      </c>
      <c r="H24" s="27" t="s">
        <v>344</v>
      </c>
      <c r="I24" s="27" t="s">
        <v>339</v>
      </c>
    </row>
    <row r="25" spans="2:10" ht="13" thickBot="1">
      <c r="B25"/>
      <c r="E25" s="28">
        <v>6</v>
      </c>
      <c r="F25" s="190">
        <v>100</v>
      </c>
      <c r="G25" s="188" t="s">
        <v>331</v>
      </c>
      <c r="H25" s="27" t="s">
        <v>344</v>
      </c>
      <c r="I25" s="27" t="s">
        <v>341</v>
      </c>
      <c r="J25">
        <v>176</v>
      </c>
    </row>
    <row r="26" spans="2:10" ht="13" thickBot="1">
      <c r="B26"/>
      <c r="E26" s="28">
        <v>7</v>
      </c>
      <c r="F26" s="190">
        <v>105</v>
      </c>
      <c r="G26" s="188" t="s">
        <v>331</v>
      </c>
      <c r="H26" s="27" t="s">
        <v>343</v>
      </c>
      <c r="I26" s="27" t="s">
        <v>342</v>
      </c>
    </row>
    <row r="27" spans="2:10" ht="13" thickBot="1">
      <c r="B27"/>
      <c r="E27" s="190">
        <v>8</v>
      </c>
      <c r="F27" s="19" t="s">
        <v>340</v>
      </c>
      <c r="G27" s="25" t="s">
        <v>333</v>
      </c>
      <c r="H27" s="24"/>
      <c r="I27" s="24"/>
    </row>
    <row r="28" spans="2:10">
      <c r="B28"/>
    </row>
    <row r="29" spans="2:10">
      <c r="B29"/>
    </row>
    <row r="30" spans="2:10">
      <c r="B30" s="18" t="s">
        <v>532</v>
      </c>
    </row>
    <row r="31" spans="2:10">
      <c r="B31" s="18" t="s">
        <v>533</v>
      </c>
    </row>
    <row r="32" spans="2:10">
      <c r="B32" s="18" t="s">
        <v>534</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20</vt:i4>
      </vt:variant>
    </vt:vector>
  </HeadingPairs>
  <TitlesOfParts>
    <vt:vector size="20" baseType="lpstr">
      <vt:lpstr>SORTIES 2016</vt:lpstr>
      <vt:lpstr>MATERIEL</vt:lpstr>
      <vt:lpstr>SORTIES 2015</vt:lpstr>
      <vt:lpstr>PREP MARATHON</vt:lpstr>
      <vt:lpstr>PREPA 1 MARATHON</vt:lpstr>
      <vt:lpstr>PERFS</vt:lpstr>
      <vt:lpstr>MES ALLURES</vt:lpstr>
      <vt:lpstr>PARAMETRES DE MESURE</vt:lpstr>
      <vt:lpstr>DEFINITIONS</vt:lpstr>
      <vt:lpstr>trail</vt:lpstr>
      <vt:lpstr>EQ TRAIL ROUTE</vt:lpstr>
      <vt:lpstr>DONNEES</vt:lpstr>
      <vt:lpstr>NATATION</vt:lpstr>
      <vt:lpstr>ALLURE</vt:lpstr>
      <vt:lpstr>allures</vt:lpstr>
      <vt:lpstr>seuil</vt:lpstr>
      <vt:lpstr>ENTRAINEMENTS</vt:lpstr>
      <vt:lpstr>PREP MARA</vt:lpstr>
      <vt:lpstr>PLANIFICATION</vt:lpstr>
      <vt:lpstr>AGENDA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2016-03-03T16:03:39Z</dcterms:modified>
</cp:coreProperties>
</file>