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5260" yWindow="1900" windowWidth="42380" windowHeight="20720" tabRatio="500" firstSheet="3" activeTab="5"/>
  </bookViews>
  <sheets>
    <sheet name="SORTIES 2016" sheetId="20" r:id="rId1"/>
    <sheet name="SORTIES 2015" sheetId="15" r:id="rId2"/>
    <sheet name="PREP MARATHON" sheetId="1" r:id="rId3"/>
    <sheet name="PREPA 1 MARATHON" sheetId="21" r:id="rId4"/>
    <sheet name="PERFS" sheetId="22" r:id="rId5"/>
    <sheet name="MES ALLURES" sheetId="23" r:id="rId6"/>
    <sheet name="PARAMETRES DE MESURE" sheetId="17" r:id="rId7"/>
    <sheet name="DEFINITIONS" sheetId="4" r:id="rId8"/>
    <sheet name="trail" sheetId="12" r:id="rId9"/>
    <sheet name="EQ TRAIL ROUTE" sheetId="13" r:id="rId10"/>
    <sheet name="MATERIEL" sheetId="16" r:id="rId11"/>
    <sheet name="DONNEES" sheetId="8" r:id="rId12"/>
    <sheet name="NATATION" sheetId="18" r:id="rId13"/>
    <sheet name="ALLURE" sheetId="9" r:id="rId14"/>
    <sheet name="allures" sheetId="6" r:id="rId15"/>
    <sheet name="seuil" sheetId="11" r:id="rId16"/>
    <sheet name="ENTRAINEMENTS" sheetId="10" r:id="rId17"/>
    <sheet name="PREP MARA" sheetId="3" r:id="rId18"/>
    <sheet name="PLANIFICATION" sheetId="2" r:id="rId19"/>
    <sheet name="AGENDA" sheetId="5" r:id="rId20"/>
    <sheet name="Feuil1" sheetId="19" r:id="rId21"/>
  </sheets>
  <externalReferences>
    <externalReference r:id="rId22"/>
  </externalReferences>
  <definedNames>
    <definedName name="L_CHAUSSURES">MATERIEL!$B$7:$B$17</definedName>
    <definedName name="L_CYCLES">MATERIEL!$B$22:$B$23</definedName>
    <definedName name="L_EPREUVES" localSheetId="13">ALLURE!$E$9:$E$26</definedName>
    <definedName name="L_EPREUVES" localSheetId="11">DONNEES!$E$9:$E$15</definedName>
    <definedName name="L_EPREUVES" localSheetId="16">ENTRAINEMENTS!$G$4:$G$5</definedName>
    <definedName name="L_EPREUVES" localSheetId="9">'EQ TRAIL ROUTE'!$E$20:$E$26</definedName>
    <definedName name="L_EPREUVES" localSheetId="10">MATERIEL!#REF!</definedName>
    <definedName name="L_EPREUVES" localSheetId="5">'MES ALLURES'!$D$9:$D$23</definedName>
    <definedName name="L_EPREUVES" localSheetId="12">NATATION!$E$9:$E$26</definedName>
    <definedName name="L_EPREUVES" localSheetId="1">'SORTIES 2015'!$I$4:$I$5</definedName>
    <definedName name="L_EPREUVES" localSheetId="0">'SORTIES 2016'!$I$4:$I$5</definedName>
    <definedName name="L_EPREUVES">DEFINITIONS!$E$7:$E$13</definedName>
    <definedName name="L_VOTE" localSheetId="13">ALLURE!$H$25:$H$26</definedName>
    <definedName name="L_VOTE" localSheetId="11">DONNEES!$H$14:$H$15</definedName>
    <definedName name="L_VOTE" localSheetId="16">ENTRAINEMENTS!$K$4:$K$5</definedName>
    <definedName name="L_VOTE" localSheetId="9">'EQ TRAIL ROUTE'!$H$25:$H$26</definedName>
    <definedName name="L_VOTE" localSheetId="10">MATERIEL!#REF!</definedName>
    <definedName name="L_VOTE" localSheetId="5">'MES ALLURES'!#REF!</definedName>
    <definedName name="L_VOTE" localSheetId="12">NATATION!$H$25:$H$26</definedName>
    <definedName name="L_VOTE" localSheetId="1">'SORTIES 2015'!#REF!</definedName>
    <definedName name="L_VOTE" localSheetId="0">'SORTIES 2016'!#REF!</definedName>
    <definedName name="L_VOTE">DEFINITIONS!$I$12:$I$13</definedName>
    <definedName name="Z_BB83BFFE_3D54_4F8E_B027_118B86B3AF3E_.wvu.PrintArea" localSheetId="15" hidden="1">seuil!$B$1:$Q$42</definedName>
    <definedName name="_xlnm.Print_Area" localSheetId="15">seuil!$B$1:$Q$42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17" i="23" l="1"/>
  <c r="J17" i="23"/>
  <c r="I17" i="23"/>
  <c r="H17" i="23"/>
  <c r="G17" i="23"/>
  <c r="F17" i="23"/>
  <c r="E17" i="23"/>
  <c r="D17" i="23"/>
  <c r="C17" i="23"/>
  <c r="T22" i="21"/>
  <c r="J18" i="23"/>
  <c r="E16" i="23"/>
  <c r="K16" i="23"/>
  <c r="J16" i="23"/>
  <c r="H16" i="23"/>
  <c r="F16" i="23"/>
  <c r="G16" i="23"/>
  <c r="D16" i="23"/>
  <c r="C16" i="23"/>
  <c r="B11" i="23"/>
  <c r="H6" i="23"/>
  <c r="K36" i="22"/>
  <c r="E36" i="22"/>
  <c r="F36" i="22"/>
  <c r="G36" i="22"/>
  <c r="H36" i="22"/>
  <c r="I36" i="22"/>
  <c r="K35" i="22"/>
  <c r="E35" i="22"/>
  <c r="F35" i="22"/>
  <c r="G35" i="22"/>
  <c r="H35" i="22"/>
  <c r="I35" i="22"/>
  <c r="F34" i="22"/>
  <c r="G34" i="22"/>
  <c r="H34" i="22"/>
  <c r="I34" i="22"/>
  <c r="J34" i="22"/>
  <c r="K34" i="22"/>
  <c r="F33" i="22"/>
  <c r="G33" i="22"/>
  <c r="H33" i="22"/>
  <c r="I33" i="22"/>
  <c r="J33" i="22"/>
  <c r="K33" i="22"/>
  <c r="F32" i="22"/>
  <c r="G32" i="22"/>
  <c r="H32" i="22"/>
  <c r="I32" i="22"/>
  <c r="J32" i="22"/>
  <c r="K32" i="22"/>
  <c r="F31" i="22"/>
  <c r="G31" i="22"/>
  <c r="H31" i="22"/>
  <c r="I31" i="22"/>
  <c r="J31" i="22"/>
  <c r="K31" i="22"/>
  <c r="K30" i="22"/>
  <c r="E30" i="22"/>
  <c r="F30" i="22"/>
  <c r="G30" i="22"/>
  <c r="H30" i="22"/>
  <c r="I30" i="22"/>
  <c r="F29" i="22"/>
  <c r="G29" i="22"/>
  <c r="H29" i="22"/>
  <c r="I29" i="22"/>
  <c r="J29" i="22"/>
  <c r="K29" i="22"/>
  <c r="F28" i="22"/>
  <c r="G28" i="22"/>
  <c r="H28" i="22"/>
  <c r="I28" i="22"/>
  <c r="J28" i="22"/>
  <c r="K28" i="22"/>
  <c r="F27" i="22"/>
  <c r="G27" i="22"/>
  <c r="H27" i="22"/>
  <c r="I27" i="22"/>
  <c r="J27" i="22"/>
  <c r="K27" i="22"/>
  <c r="F26" i="22"/>
  <c r="G26" i="22"/>
  <c r="H26" i="22"/>
  <c r="I26" i="22"/>
  <c r="J26" i="22"/>
  <c r="K26" i="22"/>
  <c r="K25" i="22"/>
  <c r="E25" i="22"/>
  <c r="F25" i="22"/>
  <c r="G25" i="22"/>
  <c r="H25" i="22"/>
  <c r="I25" i="22"/>
  <c r="F24" i="22"/>
  <c r="G24" i="22"/>
  <c r="H24" i="22"/>
  <c r="I24" i="22"/>
  <c r="J24" i="22"/>
  <c r="K24" i="22"/>
  <c r="F23" i="22"/>
  <c r="G23" i="22"/>
  <c r="H23" i="22"/>
  <c r="I23" i="22"/>
  <c r="J23" i="22"/>
  <c r="K23" i="22"/>
  <c r="K22" i="22"/>
  <c r="E22" i="22"/>
  <c r="F22" i="22"/>
  <c r="G22" i="22"/>
  <c r="H22" i="22"/>
  <c r="I22" i="22"/>
  <c r="F21" i="22"/>
  <c r="G21" i="22"/>
  <c r="H21" i="22"/>
  <c r="I21" i="22"/>
  <c r="J21" i="22"/>
  <c r="K21" i="22"/>
  <c r="F20" i="22"/>
  <c r="G20" i="22"/>
  <c r="H20" i="22"/>
  <c r="I20" i="22"/>
  <c r="J20" i="22"/>
  <c r="K20" i="22"/>
  <c r="F19" i="22"/>
  <c r="G19" i="22"/>
  <c r="H19" i="22"/>
  <c r="I19" i="22"/>
  <c r="J19" i="22"/>
  <c r="K19" i="22"/>
  <c r="F18" i="22"/>
  <c r="G18" i="22"/>
  <c r="H18" i="22"/>
  <c r="I18" i="22"/>
  <c r="J18" i="22"/>
  <c r="K18" i="22"/>
  <c r="F17" i="22"/>
  <c r="G17" i="22"/>
  <c r="H17" i="22"/>
  <c r="I17" i="22"/>
  <c r="J17" i="22"/>
  <c r="K17" i="22"/>
  <c r="F16" i="22"/>
  <c r="G16" i="22"/>
  <c r="H16" i="22"/>
  <c r="I16" i="22"/>
  <c r="J16" i="22"/>
  <c r="K16" i="22"/>
  <c r="F15" i="22"/>
  <c r="G15" i="22"/>
  <c r="H15" i="22"/>
  <c r="I15" i="22"/>
  <c r="J15" i="22"/>
  <c r="K15" i="22"/>
  <c r="F14" i="22"/>
  <c r="G14" i="22"/>
  <c r="H14" i="22"/>
  <c r="I14" i="22"/>
  <c r="J14" i="22"/>
  <c r="K14" i="22"/>
  <c r="F13" i="22"/>
  <c r="G13" i="22"/>
  <c r="H13" i="22"/>
  <c r="I13" i="22"/>
  <c r="J13" i="22"/>
  <c r="K13" i="22"/>
  <c r="F12" i="22"/>
  <c r="G12" i="22"/>
  <c r="H12" i="22"/>
  <c r="I12" i="22"/>
  <c r="J12" i="22"/>
  <c r="K12" i="22"/>
  <c r="F11" i="22"/>
  <c r="G11" i="22"/>
  <c r="H11" i="22"/>
  <c r="I11" i="22"/>
  <c r="J11" i="22"/>
  <c r="K11" i="22"/>
  <c r="F10" i="22"/>
  <c r="G10" i="22"/>
  <c r="H10" i="22"/>
  <c r="I10" i="22"/>
  <c r="J10" i="22"/>
  <c r="K10" i="22"/>
  <c r="K9" i="22"/>
  <c r="I9" i="22"/>
  <c r="F5" i="22"/>
  <c r="G5" i="22"/>
  <c r="H5" i="22"/>
  <c r="I5" i="22"/>
  <c r="H9" i="22"/>
  <c r="F9" i="22"/>
  <c r="G9" i="22"/>
  <c r="E9" i="22"/>
  <c r="F8" i="22"/>
  <c r="G8" i="22"/>
  <c r="H8" i="22"/>
  <c r="I8" i="22"/>
  <c r="J8" i="22"/>
  <c r="K8" i="22"/>
  <c r="F7" i="22"/>
  <c r="G7" i="22"/>
  <c r="H7" i="22"/>
  <c r="I7" i="22"/>
  <c r="J7" i="22"/>
  <c r="K7" i="22"/>
  <c r="F6" i="22"/>
  <c r="G6" i="22"/>
  <c r="H6" i="22"/>
  <c r="I6" i="22"/>
  <c r="J6" i="22"/>
  <c r="K6" i="22"/>
  <c r="J5" i="22"/>
  <c r="K5" i="22"/>
  <c r="E8" i="16"/>
  <c r="E9" i="16"/>
  <c r="E10" i="16"/>
  <c r="E11" i="16"/>
  <c r="E12" i="16"/>
  <c r="E13" i="16"/>
  <c r="E14" i="16"/>
  <c r="E15" i="16"/>
  <c r="E16" i="16"/>
  <c r="E17" i="16"/>
  <c r="E7" i="16"/>
  <c r="N17" i="16"/>
  <c r="N12" i="16"/>
  <c r="N13" i="16"/>
  <c r="N14" i="16"/>
  <c r="N15" i="16"/>
  <c r="N16" i="16"/>
  <c r="N11" i="16"/>
  <c r="N8" i="16"/>
  <c r="N9" i="16"/>
  <c r="N10" i="16"/>
  <c r="N7" i="16"/>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I370" i="20"/>
  <c r="I39" i="20"/>
  <c r="I40" i="20"/>
  <c r="I41" i="20"/>
  <c r="I42" i="20"/>
  <c r="I43" i="20"/>
  <c r="I44" i="20"/>
  <c r="I45" i="20"/>
  <c r="I46" i="20"/>
  <c r="I47" i="20"/>
  <c r="I48" i="20"/>
  <c r="I49" i="20"/>
  <c r="I50" i="20"/>
  <c r="I51" i="20"/>
  <c r="I52" i="20"/>
  <c r="I53" i="20"/>
  <c r="I54" i="20"/>
  <c r="I55" i="20"/>
  <c r="I56" i="20"/>
  <c r="I57" i="20"/>
  <c r="I58" i="20"/>
  <c r="I59" i="20"/>
  <c r="I60" i="20"/>
  <c r="I61" i="20"/>
  <c r="I62" i="20"/>
  <c r="I63" i="20"/>
  <c r="I64" i="20"/>
  <c r="I65" i="20"/>
  <c r="I66" i="20"/>
  <c r="I67" i="20"/>
  <c r="I68" i="20"/>
  <c r="I69" i="20"/>
  <c r="I70" i="20"/>
  <c r="I71" i="20"/>
  <c r="I72" i="20"/>
  <c r="I73" i="20"/>
  <c r="I74" i="20"/>
  <c r="I75" i="20"/>
  <c r="I76" i="20"/>
  <c r="I77" i="20"/>
  <c r="I78" i="20"/>
  <c r="I79" i="20"/>
  <c r="I80" i="20"/>
  <c r="I81" i="20"/>
  <c r="I82" i="20"/>
  <c r="I83" i="20"/>
  <c r="I84" i="20"/>
  <c r="I85" i="20"/>
  <c r="I86" i="20"/>
  <c r="I87" i="20"/>
  <c r="I88" i="20"/>
  <c r="I89" i="20"/>
  <c r="I90" i="20"/>
  <c r="I91" i="20"/>
  <c r="I92" i="20"/>
  <c r="I93" i="20"/>
  <c r="I94" i="20"/>
  <c r="I95" i="20"/>
  <c r="I96" i="20"/>
  <c r="I97" i="20"/>
  <c r="I98" i="20"/>
  <c r="I99" i="20"/>
  <c r="I100" i="20"/>
  <c r="I101" i="20"/>
  <c r="I102" i="20"/>
  <c r="I103" i="20"/>
  <c r="I104" i="20"/>
  <c r="I105" i="20"/>
  <c r="I106" i="20"/>
  <c r="I107" i="20"/>
  <c r="I108" i="20"/>
  <c r="I109" i="20"/>
  <c r="I110" i="20"/>
  <c r="I111" i="20"/>
  <c r="I112" i="20"/>
  <c r="I113" i="20"/>
  <c r="I114" i="20"/>
  <c r="I115" i="20"/>
  <c r="I116" i="20"/>
  <c r="I117" i="20"/>
  <c r="I118" i="20"/>
  <c r="I119" i="20"/>
  <c r="I120" i="20"/>
  <c r="I121" i="20"/>
  <c r="I122" i="20"/>
  <c r="I123" i="20"/>
  <c r="I124" i="20"/>
  <c r="I125" i="20"/>
  <c r="I126" i="20"/>
  <c r="I127" i="20"/>
  <c r="I128" i="20"/>
  <c r="I129" i="20"/>
  <c r="I130" i="20"/>
  <c r="I131" i="20"/>
  <c r="I132" i="20"/>
  <c r="I133" i="20"/>
  <c r="I134" i="20"/>
  <c r="I135" i="20"/>
  <c r="I136" i="20"/>
  <c r="I137" i="20"/>
  <c r="I138" i="20"/>
  <c r="I139" i="20"/>
  <c r="I140" i="20"/>
  <c r="I141" i="20"/>
  <c r="I142" i="20"/>
  <c r="I143" i="20"/>
  <c r="I144" i="20"/>
  <c r="I145" i="20"/>
  <c r="I146" i="20"/>
  <c r="I147" i="20"/>
  <c r="I148" i="20"/>
  <c r="I149" i="20"/>
  <c r="I150" i="20"/>
  <c r="I151" i="20"/>
  <c r="I152" i="20"/>
  <c r="I153" i="20"/>
  <c r="I154" i="20"/>
  <c r="I155" i="20"/>
  <c r="I156" i="20"/>
  <c r="I157" i="20"/>
  <c r="I158" i="20"/>
  <c r="I159" i="20"/>
  <c r="I160" i="20"/>
  <c r="I161" i="20"/>
  <c r="I162" i="20"/>
  <c r="I163" i="20"/>
  <c r="I164" i="20"/>
  <c r="I165" i="20"/>
  <c r="I166" i="20"/>
  <c r="I167" i="20"/>
  <c r="I168" i="20"/>
  <c r="I169" i="20"/>
  <c r="I170" i="20"/>
  <c r="I171" i="20"/>
  <c r="I172" i="20"/>
  <c r="I173" i="20"/>
  <c r="I174" i="20"/>
  <c r="I175" i="20"/>
  <c r="I176" i="20"/>
  <c r="I177" i="20"/>
  <c r="I178" i="20"/>
  <c r="I179" i="20"/>
  <c r="I180" i="20"/>
  <c r="I181" i="20"/>
  <c r="I182" i="20"/>
  <c r="I183" i="20"/>
  <c r="I184" i="20"/>
  <c r="I185" i="20"/>
  <c r="I186" i="20"/>
  <c r="I187" i="20"/>
  <c r="I188" i="20"/>
  <c r="I189" i="20"/>
  <c r="I190" i="20"/>
  <c r="I191" i="20"/>
  <c r="I192" i="20"/>
  <c r="I193" i="20"/>
  <c r="I194" i="20"/>
  <c r="I195" i="20"/>
  <c r="I196" i="20"/>
  <c r="I197" i="20"/>
  <c r="I198" i="20"/>
  <c r="I199" i="20"/>
  <c r="I200" i="20"/>
  <c r="I201" i="20"/>
  <c r="I202" i="20"/>
  <c r="I203" i="20"/>
  <c r="I204" i="20"/>
  <c r="I205" i="20"/>
  <c r="I206" i="20"/>
  <c r="I207" i="20"/>
  <c r="I208" i="20"/>
  <c r="I209" i="20"/>
  <c r="I210" i="20"/>
  <c r="I211" i="20"/>
  <c r="I212" i="20"/>
  <c r="I213" i="20"/>
  <c r="I214" i="20"/>
  <c r="I215" i="20"/>
  <c r="I216" i="20"/>
  <c r="I217" i="20"/>
  <c r="I218" i="20"/>
  <c r="I219" i="20"/>
  <c r="I220" i="20"/>
  <c r="I221" i="20"/>
  <c r="I222" i="20"/>
  <c r="I223" i="20"/>
  <c r="I224" i="20"/>
  <c r="I225" i="20"/>
  <c r="I226" i="20"/>
  <c r="I227" i="20"/>
  <c r="I228" i="20"/>
  <c r="I229" i="20"/>
  <c r="I230" i="20"/>
  <c r="I231" i="20"/>
  <c r="I232" i="20"/>
  <c r="I233" i="20"/>
  <c r="I234" i="20"/>
  <c r="I235" i="20"/>
  <c r="I236" i="20"/>
  <c r="I237" i="20"/>
  <c r="I238" i="20"/>
  <c r="I239" i="20"/>
  <c r="I240" i="20"/>
  <c r="I241" i="20"/>
  <c r="I242" i="20"/>
  <c r="I243" i="20"/>
  <c r="I244" i="20"/>
  <c r="I245" i="20"/>
  <c r="I246" i="20"/>
  <c r="I247" i="20"/>
  <c r="I248" i="20"/>
  <c r="I249" i="20"/>
  <c r="I250" i="20"/>
  <c r="I251" i="20"/>
  <c r="I252" i="20"/>
  <c r="I253" i="20"/>
  <c r="I254" i="20"/>
  <c r="I255" i="20"/>
  <c r="I256" i="20"/>
  <c r="I257" i="20"/>
  <c r="I258" i="20"/>
  <c r="I259" i="20"/>
  <c r="I260" i="20"/>
  <c r="I261" i="20"/>
  <c r="I262" i="20"/>
  <c r="I263" i="20"/>
  <c r="I264" i="20"/>
  <c r="I265" i="20"/>
  <c r="I266" i="20"/>
  <c r="I267" i="20"/>
  <c r="I268" i="20"/>
  <c r="I269" i="20"/>
  <c r="I270" i="20"/>
  <c r="I271" i="20"/>
  <c r="I272" i="20"/>
  <c r="I273" i="20"/>
  <c r="I274" i="20"/>
  <c r="I275" i="20"/>
  <c r="I276" i="20"/>
  <c r="I277" i="20"/>
  <c r="I278" i="20"/>
  <c r="I279" i="20"/>
  <c r="I280" i="20"/>
  <c r="I281" i="20"/>
  <c r="I282" i="20"/>
  <c r="I283" i="20"/>
  <c r="I284" i="20"/>
  <c r="I285" i="20"/>
  <c r="I286" i="20"/>
  <c r="I287" i="20"/>
  <c r="I288" i="20"/>
  <c r="I289" i="20"/>
  <c r="I290" i="20"/>
  <c r="I291" i="20"/>
  <c r="I292" i="20"/>
  <c r="I293" i="20"/>
  <c r="I294" i="20"/>
  <c r="I295" i="20"/>
  <c r="I296" i="20"/>
  <c r="I297" i="20"/>
  <c r="I298" i="20"/>
  <c r="I299" i="20"/>
  <c r="I300" i="20"/>
  <c r="I301" i="20"/>
  <c r="I302" i="20"/>
  <c r="I303" i="20"/>
  <c r="I304" i="20"/>
  <c r="I305" i="20"/>
  <c r="I306" i="20"/>
  <c r="I307" i="20"/>
  <c r="I308" i="20"/>
  <c r="I309" i="20"/>
  <c r="I310" i="20"/>
  <c r="I311" i="20"/>
  <c r="I312" i="20"/>
  <c r="I313" i="20"/>
  <c r="I314" i="20"/>
  <c r="I315" i="20"/>
  <c r="I316" i="20"/>
  <c r="I317" i="20"/>
  <c r="I318" i="20"/>
  <c r="I319" i="20"/>
  <c r="I320" i="20"/>
  <c r="I321" i="20"/>
  <c r="I322" i="20"/>
  <c r="I323" i="20"/>
  <c r="I324" i="20"/>
  <c r="I325" i="20"/>
  <c r="I326" i="20"/>
  <c r="I327" i="20"/>
  <c r="I328" i="20"/>
  <c r="I329" i="20"/>
  <c r="I330" i="20"/>
  <c r="I331" i="20"/>
  <c r="I332" i="20"/>
  <c r="I333" i="20"/>
  <c r="I334" i="20"/>
  <c r="I335" i="20"/>
  <c r="I336" i="20"/>
  <c r="I337" i="20"/>
  <c r="I338" i="20"/>
  <c r="I339" i="20"/>
  <c r="I340" i="20"/>
  <c r="I341" i="20"/>
  <c r="I342" i="20"/>
  <c r="I343" i="20"/>
  <c r="I344" i="20"/>
  <c r="I345" i="20"/>
  <c r="I346" i="20"/>
  <c r="I347" i="20"/>
  <c r="I348" i="20"/>
  <c r="I349" i="20"/>
  <c r="I350" i="20"/>
  <c r="I351" i="20"/>
  <c r="I352" i="20"/>
  <c r="I353" i="20"/>
  <c r="I354" i="20"/>
  <c r="I355" i="20"/>
  <c r="I356" i="20"/>
  <c r="I357" i="20"/>
  <c r="I358" i="20"/>
  <c r="I359" i="20"/>
  <c r="I360" i="20"/>
  <c r="I361" i="20"/>
  <c r="I362" i="20"/>
  <c r="I363" i="20"/>
  <c r="I364" i="20"/>
  <c r="I365" i="20"/>
  <c r="I366" i="20"/>
  <c r="I367" i="20"/>
  <c r="I368" i="20"/>
  <c r="I369" i="20"/>
  <c r="I7" i="20"/>
  <c r="I8" i="20"/>
  <c r="I9" i="20"/>
  <c r="I10" i="20"/>
  <c r="I11" i="20"/>
  <c r="I12" i="20"/>
  <c r="I13" i="20"/>
  <c r="I14" i="20"/>
  <c r="I15" i="20"/>
  <c r="I16" i="20"/>
  <c r="I17" i="20"/>
  <c r="I18" i="20"/>
  <c r="I19" i="20"/>
  <c r="I20" i="20"/>
  <c r="I21" i="20"/>
  <c r="I22" i="20"/>
  <c r="I23" i="20"/>
  <c r="I24" i="20"/>
  <c r="I25" i="20"/>
  <c r="I26" i="20"/>
  <c r="I27" i="20"/>
  <c r="I28" i="20"/>
  <c r="I29" i="20"/>
  <c r="I30" i="20"/>
  <c r="I31" i="20"/>
  <c r="I32" i="20"/>
  <c r="I33" i="20"/>
  <c r="I34" i="20"/>
  <c r="I35" i="20"/>
  <c r="I36" i="20"/>
  <c r="I37" i="20"/>
  <c r="I38" i="20"/>
  <c r="I6"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7" i="20"/>
  <c r="H8" i="20"/>
  <c r="H9" i="20"/>
  <c r="H10" i="20"/>
  <c r="H11" i="20"/>
  <c r="H12" i="20"/>
  <c r="H13" i="20"/>
  <c r="H14" i="20"/>
  <c r="H15" i="20"/>
  <c r="H16" i="20"/>
  <c r="H17" i="20"/>
  <c r="H18" i="20"/>
  <c r="H19" i="20"/>
  <c r="H20" i="20"/>
  <c r="H21" i="20"/>
  <c r="H22" i="20"/>
  <c r="H23" i="20"/>
  <c r="H24" i="20"/>
  <c r="H25" i="20"/>
  <c r="H26" i="20"/>
  <c r="H27" i="20"/>
  <c r="H28" i="20"/>
  <c r="H29" i="20"/>
  <c r="H30" i="20"/>
  <c r="H6" i="20"/>
  <c r="X24" i="20"/>
  <c r="X23" i="20"/>
  <c r="X22" i="20"/>
  <c r="X21" i="20"/>
  <c r="X20" i="20"/>
  <c r="X19" i="20"/>
  <c r="X18" i="20"/>
  <c r="X17" i="20"/>
  <c r="X16" i="20"/>
  <c r="X15" i="20"/>
  <c r="X14" i="20"/>
  <c r="X13" i="20"/>
  <c r="X12" i="20"/>
  <c r="X11" i="20"/>
  <c r="X10" i="20"/>
  <c r="X8" i="20"/>
  <c r="X7" i="20"/>
  <c r="X6" i="20"/>
  <c r="X9" i="20"/>
  <c r="W9" i="20"/>
  <c r="J9" i="20"/>
  <c r="T29" i="21"/>
  <c r="S30" i="21"/>
  <c r="T30" i="21"/>
  <c r="S31" i="21"/>
  <c r="T31" i="21"/>
  <c r="S32" i="21"/>
  <c r="T32" i="21"/>
  <c r="S33" i="21"/>
  <c r="T33" i="21"/>
  <c r="S34" i="21"/>
  <c r="T34" i="21"/>
  <c r="S26" i="21"/>
  <c r="Z58" i="21"/>
  <c r="AA58" i="21"/>
  <c r="T28" i="21"/>
  <c r="X58" i="21"/>
  <c r="W58" i="21"/>
  <c r="U58" i="21"/>
  <c r="T58" i="21"/>
  <c r="T23" i="21"/>
  <c r="T24" i="21"/>
  <c r="T25" i="21"/>
  <c r="T26"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R14" i="21"/>
  <c r="R16" i="21"/>
  <c r="U16" i="21"/>
  <c r="T16" i="21"/>
  <c r="B16" i="21"/>
  <c r="R13" i="21"/>
  <c r="R15" i="21"/>
  <c r="U15" i="21"/>
  <c r="T15" i="21"/>
  <c r="B15" i="21"/>
  <c r="B14" i="21"/>
  <c r="B13" i="21"/>
  <c r="U12" i="21"/>
  <c r="T12" i="21"/>
  <c r="B12" i="21"/>
  <c r="U11" i="21"/>
  <c r="T11" i="21"/>
  <c r="B11" i="21"/>
  <c r="B10" i="21"/>
  <c r="V9" i="21"/>
  <c r="B9" i="21"/>
  <c r="V8" i="21"/>
  <c r="B8" i="21"/>
  <c r="E21" i="20"/>
  <c r="C22" i="20"/>
  <c r="E22" i="20"/>
  <c r="C23" i="20"/>
  <c r="E23" i="20"/>
  <c r="C24" i="20"/>
  <c r="E24" i="20"/>
  <c r="C25" i="20"/>
  <c r="E25" i="20"/>
  <c r="C26" i="20"/>
  <c r="E26" i="20"/>
  <c r="C27" i="20"/>
  <c r="E27" i="20"/>
  <c r="C28" i="20"/>
  <c r="E28" i="20"/>
  <c r="C29" i="20"/>
  <c r="E29" i="20"/>
  <c r="C30" i="20"/>
  <c r="E30" i="20"/>
  <c r="C31" i="20"/>
  <c r="E31" i="20"/>
  <c r="C32" i="20"/>
  <c r="E32" i="20"/>
  <c r="C33" i="20"/>
  <c r="E33" i="20"/>
  <c r="C34" i="20"/>
  <c r="E34" i="20"/>
  <c r="C35" i="20"/>
  <c r="E35" i="20"/>
  <c r="C36" i="20"/>
  <c r="E36" i="20"/>
  <c r="C37" i="20"/>
  <c r="E37" i="20"/>
  <c r="C38" i="20"/>
  <c r="E38" i="20"/>
  <c r="C39" i="20"/>
  <c r="E39" i="20"/>
  <c r="C40" i="20"/>
  <c r="E40" i="20"/>
  <c r="C41" i="20"/>
  <c r="E41" i="20"/>
  <c r="C42" i="20"/>
  <c r="E42" i="20"/>
  <c r="C43" i="20"/>
  <c r="E43" i="20"/>
  <c r="C44" i="20"/>
  <c r="E44" i="20"/>
  <c r="C45" i="20"/>
  <c r="E45" i="20"/>
  <c r="C46" i="20"/>
  <c r="E46" i="20"/>
  <c r="C47" i="20"/>
  <c r="E47" i="20"/>
  <c r="C48" i="20"/>
  <c r="E48" i="20"/>
  <c r="C49" i="20"/>
  <c r="E49" i="20"/>
  <c r="C50" i="20"/>
  <c r="E50" i="20"/>
  <c r="C51" i="20"/>
  <c r="E51" i="20"/>
  <c r="C52" i="20"/>
  <c r="E52" i="20"/>
  <c r="C53" i="20"/>
  <c r="E53" i="20"/>
  <c r="C54" i="20"/>
  <c r="E54" i="20"/>
  <c r="C55" i="20"/>
  <c r="E55" i="20"/>
  <c r="C56" i="20"/>
  <c r="E56" i="20"/>
  <c r="C57" i="20"/>
  <c r="E57" i="20"/>
  <c r="C58" i="20"/>
  <c r="E58" i="20"/>
  <c r="C59" i="20"/>
  <c r="E59" i="20"/>
  <c r="C60" i="20"/>
  <c r="E60" i="20"/>
  <c r="C61" i="20"/>
  <c r="E61" i="20"/>
  <c r="C62" i="20"/>
  <c r="E62" i="20"/>
  <c r="C63" i="20"/>
  <c r="E63" i="20"/>
  <c r="C64" i="20"/>
  <c r="E64" i="20"/>
  <c r="C65" i="20"/>
  <c r="E65" i="20"/>
  <c r="C66" i="20"/>
  <c r="E66" i="20"/>
  <c r="C67" i="20"/>
  <c r="E67" i="20"/>
  <c r="C68" i="20"/>
  <c r="E68" i="20"/>
  <c r="C69" i="20"/>
  <c r="E69" i="20"/>
  <c r="C70" i="20"/>
  <c r="E70" i="20"/>
  <c r="C71" i="20"/>
  <c r="E71" i="20"/>
  <c r="C72" i="20"/>
  <c r="E72" i="20"/>
  <c r="C73" i="20"/>
  <c r="E73" i="20"/>
  <c r="C74" i="20"/>
  <c r="E74" i="20"/>
  <c r="C75" i="20"/>
  <c r="E75" i="20"/>
  <c r="C76" i="20"/>
  <c r="E76" i="20"/>
  <c r="C77" i="20"/>
  <c r="E77" i="20"/>
  <c r="C78" i="20"/>
  <c r="E78" i="20"/>
  <c r="C79" i="20"/>
  <c r="E79" i="20"/>
  <c r="C80" i="20"/>
  <c r="E80" i="20"/>
  <c r="C81" i="20"/>
  <c r="E81" i="20"/>
  <c r="C82" i="20"/>
  <c r="E82" i="20"/>
  <c r="C83" i="20"/>
  <c r="E83" i="20"/>
  <c r="C84" i="20"/>
  <c r="E84" i="20"/>
  <c r="C85" i="20"/>
  <c r="E85" i="20"/>
  <c r="C86" i="20"/>
  <c r="E86" i="20"/>
  <c r="C87" i="20"/>
  <c r="E87" i="20"/>
  <c r="C88" i="20"/>
  <c r="E88" i="20"/>
  <c r="C89" i="20"/>
  <c r="E89" i="20"/>
  <c r="C90" i="20"/>
  <c r="E90" i="20"/>
  <c r="C91" i="20"/>
  <c r="E91" i="20"/>
  <c r="C92" i="20"/>
  <c r="E92" i="20"/>
  <c r="C93" i="20"/>
  <c r="E93" i="20"/>
  <c r="C94" i="20"/>
  <c r="E94" i="20"/>
  <c r="C95" i="20"/>
  <c r="E95" i="20"/>
  <c r="C96" i="20"/>
  <c r="E96" i="20"/>
  <c r="C97" i="20"/>
  <c r="E97" i="20"/>
  <c r="C98" i="20"/>
  <c r="E98" i="20"/>
  <c r="C99" i="20"/>
  <c r="E99" i="20"/>
  <c r="C100" i="20"/>
  <c r="E100" i="20"/>
  <c r="C101" i="20"/>
  <c r="E101" i="20"/>
  <c r="C102" i="20"/>
  <c r="E102" i="20"/>
  <c r="C103" i="20"/>
  <c r="E103" i="20"/>
  <c r="C104" i="20"/>
  <c r="E104" i="20"/>
  <c r="C105" i="20"/>
  <c r="E105" i="20"/>
  <c r="C106" i="20"/>
  <c r="E106" i="20"/>
  <c r="C107" i="20"/>
  <c r="E107" i="20"/>
  <c r="C108" i="20"/>
  <c r="E108" i="20"/>
  <c r="C109" i="20"/>
  <c r="E109" i="20"/>
  <c r="C110" i="20"/>
  <c r="E110" i="20"/>
  <c r="C111" i="20"/>
  <c r="E111" i="20"/>
  <c r="C112" i="20"/>
  <c r="E112" i="20"/>
  <c r="C113" i="20"/>
  <c r="E113" i="20"/>
  <c r="C114" i="20"/>
  <c r="E114" i="20"/>
  <c r="C115" i="20"/>
  <c r="E115" i="20"/>
  <c r="C116" i="20"/>
  <c r="E116" i="20"/>
  <c r="C117" i="20"/>
  <c r="E117" i="20"/>
  <c r="C118" i="20"/>
  <c r="E118" i="20"/>
  <c r="C119" i="20"/>
  <c r="E119" i="20"/>
  <c r="C120" i="20"/>
  <c r="E120" i="20"/>
  <c r="C121" i="20"/>
  <c r="E121" i="20"/>
  <c r="C122" i="20"/>
  <c r="E122" i="20"/>
  <c r="C123" i="20"/>
  <c r="E123" i="20"/>
  <c r="C124" i="20"/>
  <c r="E124" i="20"/>
  <c r="C125" i="20"/>
  <c r="E125" i="20"/>
  <c r="C126" i="20"/>
  <c r="E126" i="20"/>
  <c r="C127" i="20"/>
  <c r="E127" i="20"/>
  <c r="C128" i="20"/>
  <c r="E128" i="20"/>
  <c r="C129" i="20"/>
  <c r="E129" i="20"/>
  <c r="C130" i="20"/>
  <c r="E130" i="20"/>
  <c r="C131" i="20"/>
  <c r="E131" i="20"/>
  <c r="C132" i="20"/>
  <c r="E132" i="20"/>
  <c r="C133" i="20"/>
  <c r="E133" i="20"/>
  <c r="C134" i="20"/>
  <c r="E134" i="20"/>
  <c r="C135" i="20"/>
  <c r="E135" i="20"/>
  <c r="C136" i="20"/>
  <c r="E136" i="20"/>
  <c r="C137" i="20"/>
  <c r="E137" i="20"/>
  <c r="C138" i="20"/>
  <c r="E138" i="20"/>
  <c r="C139" i="20"/>
  <c r="E139" i="20"/>
  <c r="C140" i="20"/>
  <c r="E140" i="20"/>
  <c r="C141" i="20"/>
  <c r="E141" i="20"/>
  <c r="C142" i="20"/>
  <c r="E142" i="20"/>
  <c r="C143" i="20"/>
  <c r="E143" i="20"/>
  <c r="C144" i="20"/>
  <c r="E144" i="20"/>
  <c r="C145" i="20"/>
  <c r="E145" i="20"/>
  <c r="C146" i="20"/>
  <c r="E146" i="20"/>
  <c r="C147" i="20"/>
  <c r="E147" i="20"/>
  <c r="C148" i="20"/>
  <c r="E148" i="20"/>
  <c r="C149" i="20"/>
  <c r="E149" i="20"/>
  <c r="C150" i="20"/>
  <c r="E150" i="20"/>
  <c r="C151" i="20"/>
  <c r="E151" i="20"/>
  <c r="C152" i="20"/>
  <c r="E152" i="20"/>
  <c r="C153" i="20"/>
  <c r="E153" i="20"/>
  <c r="C154" i="20"/>
  <c r="E154" i="20"/>
  <c r="C155" i="20"/>
  <c r="E155" i="20"/>
  <c r="C156" i="20"/>
  <c r="E156" i="20"/>
  <c r="C157" i="20"/>
  <c r="E157" i="20"/>
  <c r="C158" i="20"/>
  <c r="E158" i="20"/>
  <c r="C159" i="20"/>
  <c r="E159" i="20"/>
  <c r="C160" i="20"/>
  <c r="E160" i="20"/>
  <c r="C161" i="20"/>
  <c r="E161" i="20"/>
  <c r="C162" i="20"/>
  <c r="E162" i="20"/>
  <c r="C163" i="20"/>
  <c r="E163" i="20"/>
  <c r="C164" i="20"/>
  <c r="E164" i="20"/>
  <c r="C165" i="20"/>
  <c r="E165" i="20"/>
  <c r="C166" i="20"/>
  <c r="E166" i="20"/>
  <c r="C167" i="20"/>
  <c r="E167" i="20"/>
  <c r="C168" i="20"/>
  <c r="E168" i="20"/>
  <c r="C169" i="20"/>
  <c r="E169" i="20"/>
  <c r="C170" i="20"/>
  <c r="E170" i="20"/>
  <c r="C171" i="20"/>
  <c r="E171" i="20"/>
  <c r="C172" i="20"/>
  <c r="E172" i="20"/>
  <c r="C173" i="20"/>
  <c r="E173" i="20"/>
  <c r="C174" i="20"/>
  <c r="E174" i="20"/>
  <c r="C175" i="20"/>
  <c r="E175" i="20"/>
  <c r="C176" i="20"/>
  <c r="E176" i="20"/>
  <c r="C177" i="20"/>
  <c r="E177" i="20"/>
  <c r="C178" i="20"/>
  <c r="E178" i="20"/>
  <c r="C179" i="20"/>
  <c r="E179" i="20"/>
  <c r="C180" i="20"/>
  <c r="E180" i="20"/>
  <c r="C181" i="20"/>
  <c r="E181" i="20"/>
  <c r="C182" i="20"/>
  <c r="E182" i="20"/>
  <c r="C183" i="20"/>
  <c r="E183" i="20"/>
  <c r="C184" i="20"/>
  <c r="E184" i="20"/>
  <c r="C185" i="20"/>
  <c r="E185" i="20"/>
  <c r="C186" i="20"/>
  <c r="E186" i="20"/>
  <c r="C187" i="20"/>
  <c r="E187" i="20"/>
  <c r="C188" i="20"/>
  <c r="E188" i="20"/>
  <c r="C189" i="20"/>
  <c r="E189" i="20"/>
  <c r="C190" i="20"/>
  <c r="E190" i="20"/>
  <c r="C191" i="20"/>
  <c r="E191" i="20"/>
  <c r="C192" i="20"/>
  <c r="E192" i="20"/>
  <c r="C193" i="20"/>
  <c r="E193" i="20"/>
  <c r="C194" i="20"/>
  <c r="E194" i="20"/>
  <c r="C195" i="20"/>
  <c r="E195" i="20"/>
  <c r="C196" i="20"/>
  <c r="E196" i="20"/>
  <c r="C197" i="20"/>
  <c r="E197" i="20"/>
  <c r="C198" i="20"/>
  <c r="E198" i="20"/>
  <c r="C199" i="20"/>
  <c r="E199" i="20"/>
  <c r="C200" i="20"/>
  <c r="E200" i="20"/>
  <c r="C201" i="20"/>
  <c r="E201" i="20"/>
  <c r="C202" i="20"/>
  <c r="E202" i="20"/>
  <c r="C203" i="20"/>
  <c r="E203" i="20"/>
  <c r="C204" i="20"/>
  <c r="E204" i="20"/>
  <c r="C205" i="20"/>
  <c r="E205" i="20"/>
  <c r="C206" i="20"/>
  <c r="E206" i="20"/>
  <c r="C207" i="20"/>
  <c r="E207" i="20"/>
  <c r="C208" i="20"/>
  <c r="E208" i="20"/>
  <c r="C209" i="20"/>
  <c r="E209" i="20"/>
  <c r="C210" i="20"/>
  <c r="E210" i="20"/>
  <c r="C211" i="20"/>
  <c r="E211" i="20"/>
  <c r="C212" i="20"/>
  <c r="E212" i="20"/>
  <c r="C213" i="20"/>
  <c r="E213" i="20"/>
  <c r="C214" i="20"/>
  <c r="E214" i="20"/>
  <c r="C215" i="20"/>
  <c r="E215" i="20"/>
  <c r="C216" i="20"/>
  <c r="E216" i="20"/>
  <c r="C217" i="20"/>
  <c r="E217" i="20"/>
  <c r="C218" i="20"/>
  <c r="E218" i="20"/>
  <c r="C219" i="20"/>
  <c r="E219" i="20"/>
  <c r="C220" i="20"/>
  <c r="E220" i="20"/>
  <c r="C221" i="20"/>
  <c r="E221" i="20"/>
  <c r="C222" i="20"/>
  <c r="E222" i="20"/>
  <c r="C223" i="20"/>
  <c r="E223" i="20"/>
  <c r="C224" i="20"/>
  <c r="E224" i="20"/>
  <c r="C225" i="20"/>
  <c r="E225" i="20"/>
  <c r="C226" i="20"/>
  <c r="E226" i="20"/>
  <c r="C227" i="20"/>
  <c r="E227" i="20"/>
  <c r="C228" i="20"/>
  <c r="E228" i="20"/>
  <c r="C229" i="20"/>
  <c r="E229" i="20"/>
  <c r="C230" i="20"/>
  <c r="E230" i="20"/>
  <c r="C231" i="20"/>
  <c r="E231" i="20"/>
  <c r="C232" i="20"/>
  <c r="E232" i="20"/>
  <c r="C233" i="20"/>
  <c r="E233" i="20"/>
  <c r="C234" i="20"/>
  <c r="E234" i="20"/>
  <c r="C235" i="20"/>
  <c r="E235" i="20"/>
  <c r="C236" i="20"/>
  <c r="E236" i="20"/>
  <c r="C237" i="20"/>
  <c r="E237" i="20"/>
  <c r="C238" i="20"/>
  <c r="E238" i="20"/>
  <c r="C239" i="20"/>
  <c r="E239" i="20"/>
  <c r="C240" i="20"/>
  <c r="E240" i="20"/>
  <c r="C241" i="20"/>
  <c r="E241" i="20"/>
  <c r="C242" i="20"/>
  <c r="E242" i="20"/>
  <c r="C243" i="20"/>
  <c r="E243" i="20"/>
  <c r="C244" i="20"/>
  <c r="E244" i="20"/>
  <c r="C245" i="20"/>
  <c r="E245" i="20"/>
  <c r="C246" i="20"/>
  <c r="E246" i="20"/>
  <c r="C247" i="20"/>
  <c r="E247" i="20"/>
  <c r="C248" i="20"/>
  <c r="E248" i="20"/>
  <c r="C249" i="20"/>
  <c r="E249" i="20"/>
  <c r="C250" i="20"/>
  <c r="E250" i="20"/>
  <c r="C251" i="20"/>
  <c r="E251" i="20"/>
  <c r="C252" i="20"/>
  <c r="E252" i="20"/>
  <c r="C253" i="20"/>
  <c r="E253" i="20"/>
  <c r="C254" i="20"/>
  <c r="E254" i="20"/>
  <c r="C255" i="20"/>
  <c r="E255" i="20"/>
  <c r="C256" i="20"/>
  <c r="E256" i="20"/>
  <c r="C257" i="20"/>
  <c r="E257" i="20"/>
  <c r="C258" i="20"/>
  <c r="E258" i="20"/>
  <c r="C259" i="20"/>
  <c r="E259" i="20"/>
  <c r="C260" i="20"/>
  <c r="E260" i="20"/>
  <c r="C261" i="20"/>
  <c r="E261" i="20"/>
  <c r="C262" i="20"/>
  <c r="E262" i="20"/>
  <c r="C263" i="20"/>
  <c r="E263" i="20"/>
  <c r="C264" i="20"/>
  <c r="E264" i="20"/>
  <c r="C265" i="20"/>
  <c r="E265" i="20"/>
  <c r="C266" i="20"/>
  <c r="E266" i="20"/>
  <c r="C267" i="20"/>
  <c r="E267" i="20"/>
  <c r="C268" i="20"/>
  <c r="E268" i="20"/>
  <c r="C269" i="20"/>
  <c r="E269" i="20"/>
  <c r="C270" i="20"/>
  <c r="E270" i="20"/>
  <c r="C271" i="20"/>
  <c r="E271" i="20"/>
  <c r="C272" i="20"/>
  <c r="E272" i="20"/>
  <c r="C273" i="20"/>
  <c r="E273" i="20"/>
  <c r="C274" i="20"/>
  <c r="E274" i="20"/>
  <c r="C275" i="20"/>
  <c r="E275" i="20"/>
  <c r="C276" i="20"/>
  <c r="E276" i="20"/>
  <c r="C277" i="20"/>
  <c r="E277" i="20"/>
  <c r="C278" i="20"/>
  <c r="E278" i="20"/>
  <c r="C279" i="20"/>
  <c r="E279" i="20"/>
  <c r="C280" i="20"/>
  <c r="E280" i="20"/>
  <c r="C281" i="20"/>
  <c r="E281" i="20"/>
  <c r="C282" i="20"/>
  <c r="E282" i="20"/>
  <c r="C283" i="20"/>
  <c r="E283" i="20"/>
  <c r="C284" i="20"/>
  <c r="E284" i="20"/>
  <c r="C285" i="20"/>
  <c r="E285" i="20"/>
  <c r="C286" i="20"/>
  <c r="E286" i="20"/>
  <c r="C287" i="20"/>
  <c r="E287" i="20"/>
  <c r="C288" i="20"/>
  <c r="E288" i="20"/>
  <c r="C289" i="20"/>
  <c r="E289" i="20"/>
  <c r="C290" i="20"/>
  <c r="E290" i="20"/>
  <c r="C291" i="20"/>
  <c r="E291" i="20"/>
  <c r="C292" i="20"/>
  <c r="E292" i="20"/>
  <c r="C293" i="20"/>
  <c r="E293" i="20"/>
  <c r="C294" i="20"/>
  <c r="E294" i="20"/>
  <c r="C295" i="20"/>
  <c r="E295" i="20"/>
  <c r="C296" i="20"/>
  <c r="E296" i="20"/>
  <c r="C297" i="20"/>
  <c r="E297" i="20"/>
  <c r="C298" i="20"/>
  <c r="E298" i="20"/>
  <c r="C299" i="20"/>
  <c r="E299" i="20"/>
  <c r="C300" i="20"/>
  <c r="E300" i="20"/>
  <c r="C301" i="20"/>
  <c r="E301" i="20"/>
  <c r="C302" i="20"/>
  <c r="E302" i="20"/>
  <c r="C303" i="20"/>
  <c r="E303" i="20"/>
  <c r="C304" i="20"/>
  <c r="E304" i="20"/>
  <c r="C305" i="20"/>
  <c r="E305" i="20"/>
  <c r="C306" i="20"/>
  <c r="E306" i="20"/>
  <c r="C307" i="20"/>
  <c r="E307" i="20"/>
  <c r="C308" i="20"/>
  <c r="E308" i="20"/>
  <c r="C309" i="20"/>
  <c r="E309" i="20"/>
  <c r="C310" i="20"/>
  <c r="E310" i="20"/>
  <c r="C311" i="20"/>
  <c r="E311" i="20"/>
  <c r="C312" i="20"/>
  <c r="E312" i="20"/>
  <c r="C313" i="20"/>
  <c r="E313" i="20"/>
  <c r="C314" i="20"/>
  <c r="E314" i="20"/>
  <c r="C315" i="20"/>
  <c r="E315" i="20"/>
  <c r="C316" i="20"/>
  <c r="E316" i="20"/>
  <c r="C317" i="20"/>
  <c r="E317" i="20"/>
  <c r="C318" i="20"/>
  <c r="E318" i="20"/>
  <c r="C319" i="20"/>
  <c r="E319" i="20"/>
  <c r="C320" i="20"/>
  <c r="E320" i="20"/>
  <c r="C321" i="20"/>
  <c r="E321" i="20"/>
  <c r="C322" i="20"/>
  <c r="E322" i="20"/>
  <c r="C323" i="20"/>
  <c r="E323" i="20"/>
  <c r="C324" i="20"/>
  <c r="E324" i="20"/>
  <c r="C325" i="20"/>
  <c r="E325" i="20"/>
  <c r="C326" i="20"/>
  <c r="E326" i="20"/>
  <c r="C327" i="20"/>
  <c r="E327" i="20"/>
  <c r="C328" i="20"/>
  <c r="E328" i="20"/>
  <c r="C329" i="20"/>
  <c r="E329" i="20"/>
  <c r="C330" i="20"/>
  <c r="E330" i="20"/>
  <c r="C331" i="20"/>
  <c r="E331" i="20"/>
  <c r="C332" i="20"/>
  <c r="E332" i="20"/>
  <c r="C333" i="20"/>
  <c r="E333" i="20"/>
  <c r="C334" i="20"/>
  <c r="E334" i="20"/>
  <c r="C335" i="20"/>
  <c r="E335" i="20"/>
  <c r="C336" i="20"/>
  <c r="E336" i="20"/>
  <c r="C337" i="20"/>
  <c r="E337" i="20"/>
  <c r="C338" i="20"/>
  <c r="E338" i="20"/>
  <c r="C339" i="20"/>
  <c r="E339" i="20"/>
  <c r="C340" i="20"/>
  <c r="E340" i="20"/>
  <c r="C341" i="20"/>
  <c r="E341" i="20"/>
  <c r="C342" i="20"/>
  <c r="E342" i="20"/>
  <c r="C343" i="20"/>
  <c r="E343" i="20"/>
  <c r="C344" i="20"/>
  <c r="E344" i="20"/>
  <c r="C345" i="20"/>
  <c r="E345" i="20"/>
  <c r="C346" i="20"/>
  <c r="E346" i="20"/>
  <c r="C347" i="20"/>
  <c r="E347" i="20"/>
  <c r="C348" i="20"/>
  <c r="E348" i="20"/>
  <c r="C349" i="20"/>
  <c r="E349" i="20"/>
  <c r="C350" i="20"/>
  <c r="E350" i="20"/>
  <c r="C351" i="20"/>
  <c r="E351" i="20"/>
  <c r="C352" i="20"/>
  <c r="E352" i="20"/>
  <c r="C353" i="20"/>
  <c r="E353" i="20"/>
  <c r="C354" i="20"/>
  <c r="E354" i="20"/>
  <c r="C355" i="20"/>
  <c r="E355" i="20"/>
  <c r="C356" i="20"/>
  <c r="E356" i="20"/>
  <c r="C357" i="20"/>
  <c r="E357" i="20"/>
  <c r="C358" i="20"/>
  <c r="E358" i="20"/>
  <c r="C359" i="20"/>
  <c r="E359" i="20"/>
  <c r="C360" i="20"/>
  <c r="E360" i="20"/>
  <c r="C361" i="20"/>
  <c r="E361" i="20"/>
  <c r="C362" i="20"/>
  <c r="E362" i="20"/>
  <c r="C363" i="20"/>
  <c r="E363" i="20"/>
  <c r="C364" i="20"/>
  <c r="E364" i="20"/>
  <c r="C365" i="20"/>
  <c r="E365" i="20"/>
  <c r="C366" i="20"/>
  <c r="E366" i="20"/>
  <c r="C367" i="20"/>
  <c r="E367" i="20"/>
  <c r="C368" i="20"/>
  <c r="E368" i="20"/>
  <c r="C369" i="20"/>
  <c r="E369" i="20"/>
  <c r="C370" i="20"/>
  <c r="E370" i="20"/>
  <c r="J10" i="20"/>
  <c r="F83" i="20"/>
  <c r="F82" i="20"/>
  <c r="F78" i="20"/>
  <c r="F26" i="20"/>
  <c r="D26" i="20"/>
  <c r="D131" i="20"/>
  <c r="D132" i="20"/>
  <c r="D133" i="20"/>
  <c r="D134" i="20"/>
  <c r="D135" i="20"/>
  <c r="D136" i="20"/>
  <c r="D137" i="20"/>
  <c r="D138" i="20"/>
  <c r="D139" i="20"/>
  <c r="D140" i="20"/>
  <c r="D141" i="20"/>
  <c r="D142" i="20"/>
  <c r="D143" i="20"/>
  <c r="D144" i="20"/>
  <c r="D145" i="20"/>
  <c r="D146" i="20"/>
  <c r="D147" i="20"/>
  <c r="D148" i="20"/>
  <c r="D149" i="20"/>
  <c r="D150" i="20"/>
  <c r="D151" i="20"/>
  <c r="D152"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4" i="20"/>
  <c r="D265" i="20"/>
  <c r="D266" i="20"/>
  <c r="D267" i="20"/>
  <c r="D268" i="20"/>
  <c r="D269" i="20"/>
  <c r="D270" i="20"/>
  <c r="D271" i="20"/>
  <c r="D272" i="20"/>
  <c r="D273" i="20"/>
  <c r="D274" i="20"/>
  <c r="D275" i="20"/>
  <c r="D276" i="20"/>
  <c r="D277" i="20"/>
  <c r="D278" i="20"/>
  <c r="D279" i="20"/>
  <c r="D280" i="20"/>
  <c r="D281" i="20"/>
  <c r="D282" i="20"/>
  <c r="D283" i="20"/>
  <c r="D284" i="20"/>
  <c r="D285" i="20"/>
  <c r="D286" i="20"/>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D364" i="20"/>
  <c r="D365" i="20"/>
  <c r="D366" i="20"/>
  <c r="D367" i="20"/>
  <c r="D368" i="20"/>
  <c r="D369" i="20"/>
  <c r="D370" i="20"/>
  <c r="D93" i="20"/>
  <c r="D94" i="20"/>
  <c r="D95" i="20"/>
  <c r="D96" i="20"/>
  <c r="D97" i="20"/>
  <c r="D98" i="20"/>
  <c r="D99" i="20"/>
  <c r="D100" i="20"/>
  <c r="D101" i="20"/>
  <c r="D102" i="20"/>
  <c r="D103" i="20"/>
  <c r="D104" i="20"/>
  <c r="D105" i="20"/>
  <c r="D106" i="20"/>
  <c r="D107" i="20"/>
  <c r="D108" i="20"/>
  <c r="D109" i="20"/>
  <c r="D110" i="20"/>
  <c r="D111" i="20"/>
  <c r="D112" i="20"/>
  <c r="D113" i="20"/>
  <c r="D114" i="20"/>
  <c r="D115" i="20"/>
  <c r="D116" i="20"/>
  <c r="D117" i="20"/>
  <c r="D118" i="20"/>
  <c r="D119" i="20"/>
  <c r="D120" i="20"/>
  <c r="D121" i="20"/>
  <c r="D122" i="20"/>
  <c r="D123" i="20"/>
  <c r="D124" i="20"/>
  <c r="D125" i="20"/>
  <c r="D126" i="20"/>
  <c r="D127" i="20"/>
  <c r="D128" i="20"/>
  <c r="D129" i="20"/>
  <c r="D130"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5" i="20"/>
  <c r="D24" i="20"/>
  <c r="D23" i="20"/>
  <c r="D22" i="20"/>
  <c r="D21" i="20"/>
  <c r="D20" i="20"/>
  <c r="D19" i="20"/>
  <c r="D18" i="20"/>
  <c r="D17" i="20"/>
  <c r="D16" i="20"/>
  <c r="D15" i="20"/>
  <c r="D14" i="20"/>
  <c r="D13" i="20"/>
  <c r="D12" i="20"/>
  <c r="D11" i="20"/>
  <c r="D10" i="20"/>
  <c r="D9" i="20"/>
  <c r="D7" i="20"/>
  <c r="D6" i="20"/>
  <c r="D8" i="20"/>
  <c r="D44" i="1"/>
  <c r="D37" i="1"/>
  <c r="D23" i="1"/>
  <c r="D16" i="1"/>
  <c r="Q16" i="1"/>
  <c r="Q15" i="1"/>
  <c r="T16" i="1"/>
  <c r="S16" i="1"/>
  <c r="T15" i="1"/>
  <c r="S15" i="1"/>
  <c r="Q14" i="1"/>
  <c r="Q13" i="1"/>
  <c r="T12" i="1"/>
  <c r="T11" i="1"/>
  <c r="U8" i="1"/>
  <c r="U9" i="1"/>
  <c r="S12" i="1"/>
  <c r="S11" i="1"/>
  <c r="U370" i="20"/>
  <c r="C7" i="20"/>
  <c r="C8" i="20"/>
  <c r="C9" i="20"/>
  <c r="C10" i="20"/>
  <c r="C11" i="20"/>
  <c r="C12" i="20"/>
  <c r="C13" i="20"/>
  <c r="C14" i="20"/>
  <c r="C15" i="20"/>
  <c r="C16" i="20"/>
  <c r="C17" i="20"/>
  <c r="C18" i="20"/>
  <c r="C19" i="20"/>
  <c r="C20" i="20"/>
  <c r="C21" i="20"/>
  <c r="F370" i="20"/>
  <c r="F6" i="20"/>
  <c r="F7" i="20"/>
  <c r="F8" i="20"/>
  <c r="F9" i="20"/>
  <c r="F10" i="20"/>
  <c r="F11" i="20"/>
  <c r="F12" i="20"/>
  <c r="F13" i="20"/>
  <c r="F14" i="20"/>
  <c r="F15" i="20"/>
  <c r="F16" i="20"/>
  <c r="F17" i="20"/>
  <c r="F18" i="20"/>
  <c r="F19" i="20"/>
  <c r="F20" i="20"/>
  <c r="F21" i="20"/>
  <c r="F22" i="20"/>
  <c r="F23" i="20"/>
  <c r="F24" i="20"/>
  <c r="F25" i="20"/>
  <c r="F27" i="20"/>
  <c r="F28" i="20"/>
  <c r="F29" i="20"/>
  <c r="F30" i="20"/>
  <c r="F31"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9" i="20"/>
  <c r="F80" i="20"/>
  <c r="F81"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T370" i="20"/>
  <c r="E6" i="20"/>
  <c r="E7" i="20"/>
  <c r="E8" i="20"/>
  <c r="E9" i="20"/>
  <c r="E10" i="20"/>
  <c r="E11" i="20"/>
  <c r="E12" i="20"/>
  <c r="E13" i="20"/>
  <c r="E14" i="20"/>
  <c r="E15" i="20"/>
  <c r="E16" i="20"/>
  <c r="E17" i="20"/>
  <c r="E18" i="20"/>
  <c r="E19" i="20"/>
  <c r="E20" i="20"/>
  <c r="S370" i="20"/>
  <c r="O370" i="20"/>
  <c r="N370" i="20"/>
  <c r="M370" i="20"/>
  <c r="J370" i="20"/>
  <c r="U369" i="20"/>
  <c r="T369" i="20"/>
  <c r="S369" i="20"/>
  <c r="O369" i="20"/>
  <c r="N369" i="20"/>
  <c r="M369" i="20"/>
  <c r="J369" i="20"/>
  <c r="U368" i="20"/>
  <c r="T368" i="20"/>
  <c r="S368" i="20"/>
  <c r="O368" i="20"/>
  <c r="N368" i="20"/>
  <c r="M368" i="20"/>
  <c r="J368" i="20"/>
  <c r="U367" i="20"/>
  <c r="T367" i="20"/>
  <c r="S367" i="20"/>
  <c r="O367" i="20"/>
  <c r="N367" i="20"/>
  <c r="M367" i="20"/>
  <c r="J367" i="20"/>
  <c r="U366" i="20"/>
  <c r="T366" i="20"/>
  <c r="S366" i="20"/>
  <c r="O366" i="20"/>
  <c r="N366" i="20"/>
  <c r="M366" i="20"/>
  <c r="J366" i="20"/>
  <c r="U365" i="20"/>
  <c r="T365" i="20"/>
  <c r="S365" i="20"/>
  <c r="O365" i="20"/>
  <c r="N365" i="20"/>
  <c r="M365" i="20"/>
  <c r="J365" i="20"/>
  <c r="U364" i="20"/>
  <c r="T364" i="20"/>
  <c r="S364" i="20"/>
  <c r="O364" i="20"/>
  <c r="N364" i="20"/>
  <c r="M364" i="20"/>
  <c r="J364" i="20"/>
  <c r="U363" i="20"/>
  <c r="T363" i="20"/>
  <c r="S363" i="20"/>
  <c r="O363" i="20"/>
  <c r="N363" i="20"/>
  <c r="M363" i="20"/>
  <c r="J363" i="20"/>
  <c r="U362" i="20"/>
  <c r="T362" i="20"/>
  <c r="S362" i="20"/>
  <c r="O362" i="20"/>
  <c r="N362" i="20"/>
  <c r="M362" i="20"/>
  <c r="J362" i="20"/>
  <c r="U361" i="20"/>
  <c r="T361" i="20"/>
  <c r="S361" i="20"/>
  <c r="O361" i="20"/>
  <c r="N361" i="20"/>
  <c r="M361" i="20"/>
  <c r="J361" i="20"/>
  <c r="U360" i="20"/>
  <c r="T360" i="20"/>
  <c r="S360" i="20"/>
  <c r="O360" i="20"/>
  <c r="N360" i="20"/>
  <c r="M360" i="20"/>
  <c r="J360" i="20"/>
  <c r="U359" i="20"/>
  <c r="T359" i="20"/>
  <c r="S359" i="20"/>
  <c r="O359" i="20"/>
  <c r="N359" i="20"/>
  <c r="M359" i="20"/>
  <c r="J359" i="20"/>
  <c r="U358" i="20"/>
  <c r="T358" i="20"/>
  <c r="S358" i="20"/>
  <c r="O358" i="20"/>
  <c r="N358" i="20"/>
  <c r="M358" i="20"/>
  <c r="J358" i="20"/>
  <c r="U357" i="20"/>
  <c r="T357" i="20"/>
  <c r="S357" i="20"/>
  <c r="O357" i="20"/>
  <c r="N357" i="20"/>
  <c r="M357" i="20"/>
  <c r="J357" i="20"/>
  <c r="U356" i="20"/>
  <c r="T356" i="20"/>
  <c r="S356" i="20"/>
  <c r="O356" i="20"/>
  <c r="N356" i="20"/>
  <c r="M356" i="20"/>
  <c r="J356" i="20"/>
  <c r="U355" i="20"/>
  <c r="T355" i="20"/>
  <c r="S355" i="20"/>
  <c r="O355" i="20"/>
  <c r="N355" i="20"/>
  <c r="M355" i="20"/>
  <c r="J355" i="20"/>
  <c r="U354" i="20"/>
  <c r="T354" i="20"/>
  <c r="S354" i="20"/>
  <c r="O354" i="20"/>
  <c r="N354" i="20"/>
  <c r="M354" i="20"/>
  <c r="J354" i="20"/>
  <c r="U353" i="20"/>
  <c r="T353" i="20"/>
  <c r="S353" i="20"/>
  <c r="O353" i="20"/>
  <c r="N353" i="20"/>
  <c r="M353" i="20"/>
  <c r="J353" i="20"/>
  <c r="U352" i="20"/>
  <c r="T352" i="20"/>
  <c r="S352" i="20"/>
  <c r="O352" i="20"/>
  <c r="N352" i="20"/>
  <c r="M352" i="20"/>
  <c r="J352" i="20"/>
  <c r="U351" i="20"/>
  <c r="T351" i="20"/>
  <c r="S351" i="20"/>
  <c r="O351" i="20"/>
  <c r="N351" i="20"/>
  <c r="M351" i="20"/>
  <c r="J351" i="20"/>
  <c r="U350" i="20"/>
  <c r="T350" i="20"/>
  <c r="S350" i="20"/>
  <c r="O350" i="20"/>
  <c r="N350" i="20"/>
  <c r="M350" i="20"/>
  <c r="J350" i="20"/>
  <c r="U349" i="20"/>
  <c r="T349" i="20"/>
  <c r="S349" i="20"/>
  <c r="O349" i="20"/>
  <c r="N349" i="20"/>
  <c r="M349" i="20"/>
  <c r="J349" i="20"/>
  <c r="U348" i="20"/>
  <c r="T348" i="20"/>
  <c r="S348" i="20"/>
  <c r="O348" i="20"/>
  <c r="N348" i="20"/>
  <c r="M348" i="20"/>
  <c r="J348" i="20"/>
  <c r="U347" i="20"/>
  <c r="T347" i="20"/>
  <c r="S347" i="20"/>
  <c r="O347" i="20"/>
  <c r="N347" i="20"/>
  <c r="M347" i="20"/>
  <c r="J347" i="20"/>
  <c r="U346" i="20"/>
  <c r="T346" i="20"/>
  <c r="S346" i="20"/>
  <c r="O346" i="20"/>
  <c r="N346" i="20"/>
  <c r="M346" i="20"/>
  <c r="J346" i="20"/>
  <c r="U345" i="20"/>
  <c r="T345" i="20"/>
  <c r="S345" i="20"/>
  <c r="O345" i="20"/>
  <c r="N345" i="20"/>
  <c r="M345" i="20"/>
  <c r="J345" i="20"/>
  <c r="U344" i="20"/>
  <c r="T344" i="20"/>
  <c r="S344" i="20"/>
  <c r="O344" i="20"/>
  <c r="N344" i="20"/>
  <c r="M344" i="20"/>
  <c r="J344" i="20"/>
  <c r="U343" i="20"/>
  <c r="T343" i="20"/>
  <c r="S343" i="20"/>
  <c r="O343" i="20"/>
  <c r="N343" i="20"/>
  <c r="M343" i="20"/>
  <c r="J343" i="20"/>
  <c r="U342" i="20"/>
  <c r="T342" i="20"/>
  <c r="S342" i="20"/>
  <c r="O342" i="20"/>
  <c r="N342" i="20"/>
  <c r="M342" i="20"/>
  <c r="J342" i="20"/>
  <c r="U341" i="20"/>
  <c r="T341" i="20"/>
  <c r="S341" i="20"/>
  <c r="O341" i="20"/>
  <c r="N341" i="20"/>
  <c r="M341" i="20"/>
  <c r="J341" i="20"/>
  <c r="U340" i="20"/>
  <c r="T340" i="20"/>
  <c r="S340" i="20"/>
  <c r="O340" i="20"/>
  <c r="N340" i="20"/>
  <c r="M340" i="20"/>
  <c r="J340" i="20"/>
  <c r="U339" i="20"/>
  <c r="T339" i="20"/>
  <c r="S339" i="20"/>
  <c r="O339" i="20"/>
  <c r="N339" i="20"/>
  <c r="M339" i="20"/>
  <c r="J339" i="20"/>
  <c r="U338" i="20"/>
  <c r="T338" i="20"/>
  <c r="S338" i="20"/>
  <c r="O338" i="20"/>
  <c r="N338" i="20"/>
  <c r="M338" i="20"/>
  <c r="J338" i="20"/>
  <c r="U337" i="20"/>
  <c r="T337" i="20"/>
  <c r="S337" i="20"/>
  <c r="O337" i="20"/>
  <c r="N337" i="20"/>
  <c r="M337" i="20"/>
  <c r="J337" i="20"/>
  <c r="U336" i="20"/>
  <c r="T336" i="20"/>
  <c r="S336" i="20"/>
  <c r="O336" i="20"/>
  <c r="N336" i="20"/>
  <c r="M336" i="20"/>
  <c r="J336" i="20"/>
  <c r="U335" i="20"/>
  <c r="T335" i="20"/>
  <c r="S335" i="20"/>
  <c r="O335" i="20"/>
  <c r="N335" i="20"/>
  <c r="M335" i="20"/>
  <c r="J335" i="20"/>
  <c r="U334" i="20"/>
  <c r="T334" i="20"/>
  <c r="S334" i="20"/>
  <c r="O334" i="20"/>
  <c r="N334" i="20"/>
  <c r="M334" i="20"/>
  <c r="J334" i="20"/>
  <c r="U333" i="20"/>
  <c r="T333" i="20"/>
  <c r="S333" i="20"/>
  <c r="O333" i="20"/>
  <c r="N333" i="20"/>
  <c r="M333" i="20"/>
  <c r="J333" i="20"/>
  <c r="U332" i="20"/>
  <c r="T332" i="20"/>
  <c r="S332" i="20"/>
  <c r="O332" i="20"/>
  <c r="N332" i="20"/>
  <c r="M332" i="20"/>
  <c r="J332" i="20"/>
  <c r="U331" i="20"/>
  <c r="T331" i="20"/>
  <c r="S331" i="20"/>
  <c r="O331" i="20"/>
  <c r="N331" i="20"/>
  <c r="M331" i="20"/>
  <c r="J331" i="20"/>
  <c r="U330" i="20"/>
  <c r="T330" i="20"/>
  <c r="S330" i="20"/>
  <c r="O330" i="20"/>
  <c r="N330" i="20"/>
  <c r="M330" i="20"/>
  <c r="J330" i="20"/>
  <c r="U329" i="20"/>
  <c r="T329" i="20"/>
  <c r="S329" i="20"/>
  <c r="O329" i="20"/>
  <c r="N329" i="20"/>
  <c r="M329" i="20"/>
  <c r="J329" i="20"/>
  <c r="U328" i="20"/>
  <c r="T328" i="20"/>
  <c r="S328" i="20"/>
  <c r="O328" i="20"/>
  <c r="N328" i="20"/>
  <c r="M328" i="20"/>
  <c r="J328" i="20"/>
  <c r="U327" i="20"/>
  <c r="T327" i="20"/>
  <c r="S327" i="20"/>
  <c r="O327" i="20"/>
  <c r="N327" i="20"/>
  <c r="M327" i="20"/>
  <c r="J327" i="20"/>
  <c r="U326" i="20"/>
  <c r="T326" i="20"/>
  <c r="S326" i="20"/>
  <c r="O326" i="20"/>
  <c r="N326" i="20"/>
  <c r="M326" i="20"/>
  <c r="J326" i="20"/>
  <c r="U325" i="20"/>
  <c r="T325" i="20"/>
  <c r="S325" i="20"/>
  <c r="O325" i="20"/>
  <c r="N325" i="20"/>
  <c r="M325" i="20"/>
  <c r="J325" i="20"/>
  <c r="U324" i="20"/>
  <c r="T324" i="20"/>
  <c r="S324" i="20"/>
  <c r="O324" i="20"/>
  <c r="N324" i="20"/>
  <c r="M324" i="20"/>
  <c r="J324" i="20"/>
  <c r="U323" i="20"/>
  <c r="T323" i="20"/>
  <c r="S323" i="20"/>
  <c r="O323" i="20"/>
  <c r="N323" i="20"/>
  <c r="M323" i="20"/>
  <c r="J323" i="20"/>
  <c r="U322" i="20"/>
  <c r="T322" i="20"/>
  <c r="S322" i="20"/>
  <c r="O322" i="20"/>
  <c r="N322" i="20"/>
  <c r="M322" i="20"/>
  <c r="J322" i="20"/>
  <c r="U321" i="20"/>
  <c r="T321" i="20"/>
  <c r="S321" i="20"/>
  <c r="O321" i="20"/>
  <c r="N321" i="20"/>
  <c r="M321" i="20"/>
  <c r="J321" i="20"/>
  <c r="U320" i="20"/>
  <c r="T320" i="20"/>
  <c r="S320" i="20"/>
  <c r="O320" i="20"/>
  <c r="N320" i="20"/>
  <c r="M320" i="20"/>
  <c r="J320" i="20"/>
  <c r="U319" i="20"/>
  <c r="T319" i="20"/>
  <c r="S319" i="20"/>
  <c r="O319" i="20"/>
  <c r="N319" i="20"/>
  <c r="M319" i="20"/>
  <c r="J319" i="20"/>
  <c r="U318" i="20"/>
  <c r="T318" i="20"/>
  <c r="S318" i="20"/>
  <c r="O318" i="20"/>
  <c r="N318" i="20"/>
  <c r="M318" i="20"/>
  <c r="J318" i="20"/>
  <c r="U317" i="20"/>
  <c r="T317" i="20"/>
  <c r="S317" i="20"/>
  <c r="O317" i="20"/>
  <c r="N317" i="20"/>
  <c r="M317" i="20"/>
  <c r="J317" i="20"/>
  <c r="U316" i="20"/>
  <c r="T316" i="20"/>
  <c r="S316" i="20"/>
  <c r="O316" i="20"/>
  <c r="N316" i="20"/>
  <c r="M316" i="20"/>
  <c r="J316" i="20"/>
  <c r="U315" i="20"/>
  <c r="T315" i="20"/>
  <c r="S315" i="20"/>
  <c r="O315" i="20"/>
  <c r="N315" i="20"/>
  <c r="M315" i="20"/>
  <c r="J315" i="20"/>
  <c r="U314" i="20"/>
  <c r="T314" i="20"/>
  <c r="S314" i="20"/>
  <c r="O314" i="20"/>
  <c r="N314" i="20"/>
  <c r="M314" i="20"/>
  <c r="J314" i="20"/>
  <c r="U313" i="20"/>
  <c r="T313" i="20"/>
  <c r="S313" i="20"/>
  <c r="O313" i="20"/>
  <c r="N313" i="20"/>
  <c r="M313" i="20"/>
  <c r="J313" i="20"/>
  <c r="U312" i="20"/>
  <c r="T312" i="20"/>
  <c r="S312" i="20"/>
  <c r="O312" i="20"/>
  <c r="N312" i="20"/>
  <c r="M312" i="20"/>
  <c r="J312" i="20"/>
  <c r="U311" i="20"/>
  <c r="T311" i="20"/>
  <c r="S311" i="20"/>
  <c r="O311" i="20"/>
  <c r="N311" i="20"/>
  <c r="M311" i="20"/>
  <c r="J311" i="20"/>
  <c r="U310" i="20"/>
  <c r="T310" i="20"/>
  <c r="S310" i="20"/>
  <c r="O310" i="20"/>
  <c r="N310" i="20"/>
  <c r="M310" i="20"/>
  <c r="J310" i="20"/>
  <c r="U309" i="20"/>
  <c r="T309" i="20"/>
  <c r="S309" i="20"/>
  <c r="O309" i="20"/>
  <c r="N309" i="20"/>
  <c r="M309" i="20"/>
  <c r="J309" i="20"/>
  <c r="U308" i="20"/>
  <c r="T308" i="20"/>
  <c r="S308" i="20"/>
  <c r="O308" i="20"/>
  <c r="N308" i="20"/>
  <c r="M308" i="20"/>
  <c r="J308" i="20"/>
  <c r="U307" i="20"/>
  <c r="T307" i="20"/>
  <c r="S307" i="20"/>
  <c r="O307" i="20"/>
  <c r="N307" i="20"/>
  <c r="M307" i="20"/>
  <c r="J307" i="20"/>
  <c r="U306" i="20"/>
  <c r="T306" i="20"/>
  <c r="S306" i="20"/>
  <c r="O306" i="20"/>
  <c r="N306" i="20"/>
  <c r="M306" i="20"/>
  <c r="J306" i="20"/>
  <c r="U305" i="20"/>
  <c r="T305" i="20"/>
  <c r="S305" i="20"/>
  <c r="O305" i="20"/>
  <c r="N305" i="20"/>
  <c r="M305" i="20"/>
  <c r="J305" i="20"/>
  <c r="U304" i="20"/>
  <c r="T304" i="20"/>
  <c r="S304" i="20"/>
  <c r="O304" i="20"/>
  <c r="N304" i="20"/>
  <c r="M304" i="20"/>
  <c r="J304" i="20"/>
  <c r="U303" i="20"/>
  <c r="T303" i="20"/>
  <c r="S303" i="20"/>
  <c r="O303" i="20"/>
  <c r="N303" i="20"/>
  <c r="M303" i="20"/>
  <c r="J303" i="20"/>
  <c r="U302" i="20"/>
  <c r="T302" i="20"/>
  <c r="S302" i="20"/>
  <c r="O302" i="20"/>
  <c r="N302" i="20"/>
  <c r="M302" i="20"/>
  <c r="J302" i="20"/>
  <c r="U301" i="20"/>
  <c r="T301" i="20"/>
  <c r="S301" i="20"/>
  <c r="O301" i="20"/>
  <c r="N301" i="20"/>
  <c r="M301" i="20"/>
  <c r="J301" i="20"/>
  <c r="U300" i="20"/>
  <c r="T300" i="20"/>
  <c r="S300" i="20"/>
  <c r="O300" i="20"/>
  <c r="N300" i="20"/>
  <c r="M300" i="20"/>
  <c r="J300" i="20"/>
  <c r="U299" i="20"/>
  <c r="T299" i="20"/>
  <c r="S299" i="20"/>
  <c r="O299" i="20"/>
  <c r="N299" i="20"/>
  <c r="M299" i="20"/>
  <c r="J299" i="20"/>
  <c r="U298" i="20"/>
  <c r="T298" i="20"/>
  <c r="S298" i="20"/>
  <c r="O298" i="20"/>
  <c r="N298" i="20"/>
  <c r="M298" i="20"/>
  <c r="J298" i="20"/>
  <c r="U297" i="20"/>
  <c r="T297" i="20"/>
  <c r="S297" i="20"/>
  <c r="O297" i="20"/>
  <c r="N297" i="20"/>
  <c r="M297" i="20"/>
  <c r="J297" i="20"/>
  <c r="U296" i="20"/>
  <c r="T296" i="20"/>
  <c r="S296" i="20"/>
  <c r="O296" i="20"/>
  <c r="N296" i="20"/>
  <c r="M296" i="20"/>
  <c r="J296" i="20"/>
  <c r="U295" i="20"/>
  <c r="T295" i="20"/>
  <c r="S295" i="20"/>
  <c r="O295" i="20"/>
  <c r="N295" i="20"/>
  <c r="M295" i="20"/>
  <c r="J295" i="20"/>
  <c r="U294" i="20"/>
  <c r="T294" i="20"/>
  <c r="S294" i="20"/>
  <c r="O294" i="20"/>
  <c r="N294" i="20"/>
  <c r="M294" i="20"/>
  <c r="J294" i="20"/>
  <c r="U293" i="20"/>
  <c r="T293" i="20"/>
  <c r="S293" i="20"/>
  <c r="O293" i="20"/>
  <c r="N293" i="20"/>
  <c r="M293" i="20"/>
  <c r="J293" i="20"/>
  <c r="U292" i="20"/>
  <c r="T292" i="20"/>
  <c r="S292" i="20"/>
  <c r="O292" i="20"/>
  <c r="N292" i="20"/>
  <c r="M292" i="20"/>
  <c r="J292" i="20"/>
  <c r="U291" i="20"/>
  <c r="T291" i="20"/>
  <c r="S291" i="20"/>
  <c r="O291" i="20"/>
  <c r="N291" i="20"/>
  <c r="M291" i="20"/>
  <c r="J291" i="20"/>
  <c r="U290" i="20"/>
  <c r="T290" i="20"/>
  <c r="S290" i="20"/>
  <c r="O290" i="20"/>
  <c r="N290" i="20"/>
  <c r="M290" i="20"/>
  <c r="J290" i="20"/>
  <c r="U289" i="20"/>
  <c r="T289" i="20"/>
  <c r="S289" i="20"/>
  <c r="O289" i="20"/>
  <c r="N289" i="20"/>
  <c r="M289" i="20"/>
  <c r="J289" i="20"/>
  <c r="U288" i="20"/>
  <c r="T288" i="20"/>
  <c r="S288" i="20"/>
  <c r="O288" i="20"/>
  <c r="N288" i="20"/>
  <c r="M288" i="20"/>
  <c r="J288" i="20"/>
  <c r="U287" i="20"/>
  <c r="T287" i="20"/>
  <c r="S287" i="20"/>
  <c r="O287" i="20"/>
  <c r="N287" i="20"/>
  <c r="M287" i="20"/>
  <c r="J287" i="20"/>
  <c r="U286" i="20"/>
  <c r="T286" i="20"/>
  <c r="S286" i="20"/>
  <c r="O286" i="20"/>
  <c r="N286" i="20"/>
  <c r="M286" i="20"/>
  <c r="J286" i="20"/>
  <c r="U285" i="20"/>
  <c r="T285" i="20"/>
  <c r="S285" i="20"/>
  <c r="O285" i="20"/>
  <c r="N285" i="20"/>
  <c r="M285" i="20"/>
  <c r="J285" i="20"/>
  <c r="U284" i="20"/>
  <c r="T284" i="20"/>
  <c r="S284" i="20"/>
  <c r="O284" i="20"/>
  <c r="N284" i="20"/>
  <c r="M284" i="20"/>
  <c r="J284" i="20"/>
  <c r="U283" i="20"/>
  <c r="T283" i="20"/>
  <c r="S283" i="20"/>
  <c r="O283" i="20"/>
  <c r="N283" i="20"/>
  <c r="M283" i="20"/>
  <c r="J283" i="20"/>
  <c r="U282" i="20"/>
  <c r="T282" i="20"/>
  <c r="S282" i="20"/>
  <c r="O282" i="20"/>
  <c r="N282" i="20"/>
  <c r="M282" i="20"/>
  <c r="J282" i="20"/>
  <c r="U281" i="20"/>
  <c r="T281" i="20"/>
  <c r="S281" i="20"/>
  <c r="O281" i="20"/>
  <c r="N281" i="20"/>
  <c r="M281" i="20"/>
  <c r="J281" i="20"/>
  <c r="U280" i="20"/>
  <c r="T280" i="20"/>
  <c r="S280" i="20"/>
  <c r="O280" i="20"/>
  <c r="N280" i="20"/>
  <c r="M280" i="20"/>
  <c r="J280" i="20"/>
  <c r="U279" i="20"/>
  <c r="T279" i="20"/>
  <c r="S279" i="20"/>
  <c r="O279" i="20"/>
  <c r="N279" i="20"/>
  <c r="M279" i="20"/>
  <c r="J279" i="20"/>
  <c r="U278" i="20"/>
  <c r="T278" i="20"/>
  <c r="S278" i="20"/>
  <c r="O278" i="20"/>
  <c r="N278" i="20"/>
  <c r="M278" i="20"/>
  <c r="J278" i="20"/>
  <c r="U277" i="20"/>
  <c r="T277" i="20"/>
  <c r="S277" i="20"/>
  <c r="O277" i="20"/>
  <c r="N277" i="20"/>
  <c r="M277" i="20"/>
  <c r="J277" i="20"/>
  <c r="U276" i="20"/>
  <c r="T276" i="20"/>
  <c r="S276" i="20"/>
  <c r="O276" i="20"/>
  <c r="N276" i="20"/>
  <c r="M276" i="20"/>
  <c r="J276" i="20"/>
  <c r="U275" i="20"/>
  <c r="T275" i="20"/>
  <c r="S275" i="20"/>
  <c r="O275" i="20"/>
  <c r="N275" i="20"/>
  <c r="M275" i="20"/>
  <c r="J275" i="20"/>
  <c r="U274" i="20"/>
  <c r="T274" i="20"/>
  <c r="S274" i="20"/>
  <c r="O274" i="20"/>
  <c r="N274" i="20"/>
  <c r="M274" i="20"/>
  <c r="J274" i="20"/>
  <c r="U273" i="20"/>
  <c r="T273" i="20"/>
  <c r="S273" i="20"/>
  <c r="O273" i="20"/>
  <c r="N273" i="20"/>
  <c r="M273" i="20"/>
  <c r="J273" i="20"/>
  <c r="U272" i="20"/>
  <c r="T272" i="20"/>
  <c r="S272" i="20"/>
  <c r="O272" i="20"/>
  <c r="N272" i="20"/>
  <c r="M272" i="20"/>
  <c r="J272" i="20"/>
  <c r="U271" i="20"/>
  <c r="T271" i="20"/>
  <c r="S271" i="20"/>
  <c r="O271" i="20"/>
  <c r="N271" i="20"/>
  <c r="M271" i="20"/>
  <c r="J271" i="20"/>
  <c r="U270" i="20"/>
  <c r="T270" i="20"/>
  <c r="S270" i="20"/>
  <c r="O270" i="20"/>
  <c r="N270" i="20"/>
  <c r="M270" i="20"/>
  <c r="J270" i="20"/>
  <c r="U269" i="20"/>
  <c r="T269" i="20"/>
  <c r="S269" i="20"/>
  <c r="O269" i="20"/>
  <c r="N269" i="20"/>
  <c r="M269" i="20"/>
  <c r="J269" i="20"/>
  <c r="U268" i="20"/>
  <c r="T268" i="20"/>
  <c r="S268" i="20"/>
  <c r="O268" i="20"/>
  <c r="N268" i="20"/>
  <c r="M268" i="20"/>
  <c r="J268" i="20"/>
  <c r="U267" i="20"/>
  <c r="T267" i="20"/>
  <c r="S267" i="20"/>
  <c r="O267" i="20"/>
  <c r="N267" i="20"/>
  <c r="M267" i="20"/>
  <c r="J267" i="20"/>
  <c r="U266" i="20"/>
  <c r="T266" i="20"/>
  <c r="S266" i="20"/>
  <c r="O266" i="20"/>
  <c r="N266" i="20"/>
  <c r="M266" i="20"/>
  <c r="J266" i="20"/>
  <c r="U265" i="20"/>
  <c r="T265" i="20"/>
  <c r="S265" i="20"/>
  <c r="O265" i="20"/>
  <c r="N265" i="20"/>
  <c r="M265" i="20"/>
  <c r="J265" i="20"/>
  <c r="U264" i="20"/>
  <c r="T264" i="20"/>
  <c r="S264" i="20"/>
  <c r="O264" i="20"/>
  <c r="N264" i="20"/>
  <c r="M264" i="20"/>
  <c r="J264" i="20"/>
  <c r="U263" i="20"/>
  <c r="T263" i="20"/>
  <c r="S263" i="20"/>
  <c r="O263" i="20"/>
  <c r="N263" i="20"/>
  <c r="M263" i="20"/>
  <c r="J263" i="20"/>
  <c r="U262" i="20"/>
  <c r="T262" i="20"/>
  <c r="S262" i="20"/>
  <c r="O262" i="20"/>
  <c r="N262" i="20"/>
  <c r="M262" i="20"/>
  <c r="J262" i="20"/>
  <c r="U261" i="20"/>
  <c r="T261" i="20"/>
  <c r="S261" i="20"/>
  <c r="O261" i="20"/>
  <c r="N261" i="20"/>
  <c r="M261" i="20"/>
  <c r="J261" i="20"/>
  <c r="U260" i="20"/>
  <c r="T260" i="20"/>
  <c r="S260" i="20"/>
  <c r="O260" i="20"/>
  <c r="N260" i="20"/>
  <c r="M260" i="20"/>
  <c r="J260" i="20"/>
  <c r="U259" i="20"/>
  <c r="T259" i="20"/>
  <c r="S259" i="20"/>
  <c r="O259" i="20"/>
  <c r="N259" i="20"/>
  <c r="M259" i="20"/>
  <c r="J259" i="20"/>
  <c r="U258" i="20"/>
  <c r="T258" i="20"/>
  <c r="S258" i="20"/>
  <c r="O258" i="20"/>
  <c r="N258" i="20"/>
  <c r="M258" i="20"/>
  <c r="J258" i="20"/>
  <c r="U257" i="20"/>
  <c r="T257" i="20"/>
  <c r="S257" i="20"/>
  <c r="O257" i="20"/>
  <c r="N257" i="20"/>
  <c r="M257" i="20"/>
  <c r="J257" i="20"/>
  <c r="U256" i="20"/>
  <c r="T256" i="20"/>
  <c r="S256" i="20"/>
  <c r="O256" i="20"/>
  <c r="N256" i="20"/>
  <c r="M256" i="20"/>
  <c r="J256" i="20"/>
  <c r="U255" i="20"/>
  <c r="T255" i="20"/>
  <c r="S255" i="20"/>
  <c r="O255" i="20"/>
  <c r="N255" i="20"/>
  <c r="M255" i="20"/>
  <c r="J255" i="20"/>
  <c r="U254" i="20"/>
  <c r="T254" i="20"/>
  <c r="S254" i="20"/>
  <c r="O254" i="20"/>
  <c r="N254" i="20"/>
  <c r="M254" i="20"/>
  <c r="J254" i="20"/>
  <c r="U253" i="20"/>
  <c r="T253" i="20"/>
  <c r="S253" i="20"/>
  <c r="O253" i="20"/>
  <c r="N253" i="20"/>
  <c r="M253" i="20"/>
  <c r="J253" i="20"/>
  <c r="U252" i="20"/>
  <c r="T252" i="20"/>
  <c r="S252" i="20"/>
  <c r="O252" i="20"/>
  <c r="N252" i="20"/>
  <c r="M252" i="20"/>
  <c r="J252" i="20"/>
  <c r="U251" i="20"/>
  <c r="T251" i="20"/>
  <c r="S251" i="20"/>
  <c r="O251" i="20"/>
  <c r="N251" i="20"/>
  <c r="M251" i="20"/>
  <c r="J251" i="20"/>
  <c r="U250" i="20"/>
  <c r="T250" i="20"/>
  <c r="S250" i="20"/>
  <c r="O250" i="20"/>
  <c r="N250" i="20"/>
  <c r="M250" i="20"/>
  <c r="J250" i="20"/>
  <c r="U249" i="20"/>
  <c r="T249" i="20"/>
  <c r="S249" i="20"/>
  <c r="O249" i="20"/>
  <c r="N249" i="20"/>
  <c r="M249" i="20"/>
  <c r="J249" i="20"/>
  <c r="U248" i="20"/>
  <c r="T248" i="20"/>
  <c r="S248" i="20"/>
  <c r="O248" i="20"/>
  <c r="N248" i="20"/>
  <c r="M248" i="20"/>
  <c r="J248" i="20"/>
  <c r="U247" i="20"/>
  <c r="T247" i="20"/>
  <c r="S247" i="20"/>
  <c r="O247" i="20"/>
  <c r="N247" i="20"/>
  <c r="M247" i="20"/>
  <c r="J247" i="20"/>
  <c r="U246" i="20"/>
  <c r="T246" i="20"/>
  <c r="S246" i="20"/>
  <c r="O246" i="20"/>
  <c r="N246" i="20"/>
  <c r="M246" i="20"/>
  <c r="J246" i="20"/>
  <c r="U245" i="20"/>
  <c r="T245" i="20"/>
  <c r="S245" i="20"/>
  <c r="O245" i="20"/>
  <c r="N245" i="20"/>
  <c r="M245" i="20"/>
  <c r="J245" i="20"/>
  <c r="U244" i="20"/>
  <c r="T244" i="20"/>
  <c r="S244" i="20"/>
  <c r="O244" i="20"/>
  <c r="N244" i="20"/>
  <c r="M244" i="20"/>
  <c r="J244" i="20"/>
  <c r="U243" i="20"/>
  <c r="T243" i="20"/>
  <c r="S243" i="20"/>
  <c r="O243" i="20"/>
  <c r="N243" i="20"/>
  <c r="M243" i="20"/>
  <c r="J243" i="20"/>
  <c r="U242" i="20"/>
  <c r="T242" i="20"/>
  <c r="S242" i="20"/>
  <c r="O242" i="20"/>
  <c r="N242" i="20"/>
  <c r="M242" i="20"/>
  <c r="J242" i="20"/>
  <c r="U241" i="20"/>
  <c r="T241" i="20"/>
  <c r="S241" i="20"/>
  <c r="O241" i="20"/>
  <c r="N241" i="20"/>
  <c r="M241" i="20"/>
  <c r="J241" i="20"/>
  <c r="U240" i="20"/>
  <c r="T240" i="20"/>
  <c r="S240" i="20"/>
  <c r="O240" i="20"/>
  <c r="N240" i="20"/>
  <c r="M240" i="20"/>
  <c r="J240" i="20"/>
  <c r="U239" i="20"/>
  <c r="T239" i="20"/>
  <c r="S239" i="20"/>
  <c r="O239" i="20"/>
  <c r="N239" i="20"/>
  <c r="M239" i="20"/>
  <c r="J239" i="20"/>
  <c r="U238" i="20"/>
  <c r="T238" i="20"/>
  <c r="S238" i="20"/>
  <c r="O238" i="20"/>
  <c r="N238" i="20"/>
  <c r="M238" i="20"/>
  <c r="J238" i="20"/>
  <c r="U237" i="20"/>
  <c r="T237" i="20"/>
  <c r="S237" i="20"/>
  <c r="O237" i="20"/>
  <c r="N237" i="20"/>
  <c r="M237" i="20"/>
  <c r="J237" i="20"/>
  <c r="U236" i="20"/>
  <c r="T236" i="20"/>
  <c r="S236" i="20"/>
  <c r="O236" i="20"/>
  <c r="N236" i="20"/>
  <c r="M236" i="20"/>
  <c r="J236" i="20"/>
  <c r="U235" i="20"/>
  <c r="T235" i="20"/>
  <c r="S235" i="20"/>
  <c r="O235" i="20"/>
  <c r="N235" i="20"/>
  <c r="M235" i="20"/>
  <c r="J235" i="20"/>
  <c r="U234" i="20"/>
  <c r="T234" i="20"/>
  <c r="S234" i="20"/>
  <c r="O234" i="20"/>
  <c r="N234" i="20"/>
  <c r="M234" i="20"/>
  <c r="J234" i="20"/>
  <c r="U233" i="20"/>
  <c r="T233" i="20"/>
  <c r="S233" i="20"/>
  <c r="O233" i="20"/>
  <c r="N233" i="20"/>
  <c r="M233" i="20"/>
  <c r="J233" i="20"/>
  <c r="U232" i="20"/>
  <c r="T232" i="20"/>
  <c r="S232" i="20"/>
  <c r="O232" i="20"/>
  <c r="N232" i="20"/>
  <c r="M232" i="20"/>
  <c r="J232" i="20"/>
  <c r="U231" i="20"/>
  <c r="T231" i="20"/>
  <c r="S231" i="20"/>
  <c r="O231" i="20"/>
  <c r="N231" i="20"/>
  <c r="M231" i="20"/>
  <c r="J231" i="20"/>
  <c r="U230" i="20"/>
  <c r="T230" i="20"/>
  <c r="S230" i="20"/>
  <c r="O230" i="20"/>
  <c r="N230" i="20"/>
  <c r="M230" i="20"/>
  <c r="J230" i="20"/>
  <c r="U229" i="20"/>
  <c r="T229" i="20"/>
  <c r="S229" i="20"/>
  <c r="O229" i="20"/>
  <c r="N229" i="20"/>
  <c r="M229" i="20"/>
  <c r="J229" i="20"/>
  <c r="U228" i="20"/>
  <c r="T228" i="20"/>
  <c r="S228" i="20"/>
  <c r="O228" i="20"/>
  <c r="N228" i="20"/>
  <c r="M228" i="20"/>
  <c r="J228" i="20"/>
  <c r="U227" i="20"/>
  <c r="T227" i="20"/>
  <c r="S227" i="20"/>
  <c r="O227" i="20"/>
  <c r="N227" i="20"/>
  <c r="M227" i="20"/>
  <c r="J227" i="20"/>
  <c r="U226" i="20"/>
  <c r="T226" i="20"/>
  <c r="S226" i="20"/>
  <c r="O226" i="20"/>
  <c r="N226" i="20"/>
  <c r="M226" i="20"/>
  <c r="J226" i="20"/>
  <c r="U225" i="20"/>
  <c r="T225" i="20"/>
  <c r="S225" i="20"/>
  <c r="O225" i="20"/>
  <c r="N225" i="20"/>
  <c r="M225" i="20"/>
  <c r="J225" i="20"/>
  <c r="U224" i="20"/>
  <c r="T224" i="20"/>
  <c r="S224" i="20"/>
  <c r="O224" i="20"/>
  <c r="N224" i="20"/>
  <c r="M224" i="20"/>
  <c r="J224" i="20"/>
  <c r="U223" i="20"/>
  <c r="T223" i="20"/>
  <c r="S223" i="20"/>
  <c r="O223" i="20"/>
  <c r="N223" i="20"/>
  <c r="M223" i="20"/>
  <c r="J223" i="20"/>
  <c r="U222" i="20"/>
  <c r="T222" i="20"/>
  <c r="S222" i="20"/>
  <c r="O222" i="20"/>
  <c r="N222" i="20"/>
  <c r="M222" i="20"/>
  <c r="J222" i="20"/>
  <c r="U221" i="20"/>
  <c r="T221" i="20"/>
  <c r="S221" i="20"/>
  <c r="O221" i="20"/>
  <c r="N221" i="20"/>
  <c r="M221" i="20"/>
  <c r="J221" i="20"/>
  <c r="U220" i="20"/>
  <c r="T220" i="20"/>
  <c r="S220" i="20"/>
  <c r="O220" i="20"/>
  <c r="N220" i="20"/>
  <c r="M220" i="20"/>
  <c r="J220" i="20"/>
  <c r="U219" i="20"/>
  <c r="T219" i="20"/>
  <c r="S219" i="20"/>
  <c r="O219" i="20"/>
  <c r="N219" i="20"/>
  <c r="M219" i="20"/>
  <c r="J219" i="20"/>
  <c r="U218" i="20"/>
  <c r="T218" i="20"/>
  <c r="S218" i="20"/>
  <c r="O218" i="20"/>
  <c r="N218" i="20"/>
  <c r="M218" i="20"/>
  <c r="J218" i="20"/>
  <c r="U217" i="20"/>
  <c r="T217" i="20"/>
  <c r="S217" i="20"/>
  <c r="O217" i="20"/>
  <c r="N217" i="20"/>
  <c r="M217" i="20"/>
  <c r="J217" i="20"/>
  <c r="U216" i="20"/>
  <c r="T216" i="20"/>
  <c r="S216" i="20"/>
  <c r="O216" i="20"/>
  <c r="N216" i="20"/>
  <c r="M216" i="20"/>
  <c r="J216" i="20"/>
  <c r="U215" i="20"/>
  <c r="T215" i="20"/>
  <c r="S215" i="20"/>
  <c r="O215" i="20"/>
  <c r="N215" i="20"/>
  <c r="M215" i="20"/>
  <c r="J215" i="20"/>
  <c r="U214" i="20"/>
  <c r="T214" i="20"/>
  <c r="S214" i="20"/>
  <c r="O214" i="20"/>
  <c r="N214" i="20"/>
  <c r="M214" i="20"/>
  <c r="J214" i="20"/>
  <c r="U213" i="20"/>
  <c r="T213" i="20"/>
  <c r="S213" i="20"/>
  <c r="O213" i="20"/>
  <c r="N213" i="20"/>
  <c r="M213" i="20"/>
  <c r="J213" i="20"/>
  <c r="U212" i="20"/>
  <c r="T212" i="20"/>
  <c r="S212" i="20"/>
  <c r="O212" i="20"/>
  <c r="N212" i="20"/>
  <c r="M212" i="20"/>
  <c r="J212" i="20"/>
  <c r="U211" i="20"/>
  <c r="T211" i="20"/>
  <c r="S211" i="20"/>
  <c r="O211" i="20"/>
  <c r="N211" i="20"/>
  <c r="M211" i="20"/>
  <c r="J211" i="20"/>
  <c r="U210" i="20"/>
  <c r="T210" i="20"/>
  <c r="S210" i="20"/>
  <c r="O210" i="20"/>
  <c r="N210" i="20"/>
  <c r="M210" i="20"/>
  <c r="J210" i="20"/>
  <c r="U209" i="20"/>
  <c r="T209" i="20"/>
  <c r="S209" i="20"/>
  <c r="O209" i="20"/>
  <c r="N209" i="20"/>
  <c r="M209" i="20"/>
  <c r="J209" i="20"/>
  <c r="U208" i="20"/>
  <c r="T208" i="20"/>
  <c r="S208" i="20"/>
  <c r="O208" i="20"/>
  <c r="N208" i="20"/>
  <c r="M208" i="20"/>
  <c r="J208" i="20"/>
  <c r="U207" i="20"/>
  <c r="T207" i="20"/>
  <c r="S207" i="20"/>
  <c r="O207" i="20"/>
  <c r="N207" i="20"/>
  <c r="M207" i="20"/>
  <c r="J207" i="20"/>
  <c r="U206" i="20"/>
  <c r="T206" i="20"/>
  <c r="S206" i="20"/>
  <c r="O206" i="20"/>
  <c r="N206" i="20"/>
  <c r="M206" i="20"/>
  <c r="J206" i="20"/>
  <c r="U205" i="20"/>
  <c r="T205" i="20"/>
  <c r="S205" i="20"/>
  <c r="O205" i="20"/>
  <c r="N205" i="20"/>
  <c r="M205" i="20"/>
  <c r="J205" i="20"/>
  <c r="U204" i="20"/>
  <c r="T204" i="20"/>
  <c r="S204" i="20"/>
  <c r="O204" i="20"/>
  <c r="N204" i="20"/>
  <c r="M204" i="20"/>
  <c r="J204" i="20"/>
  <c r="U203" i="20"/>
  <c r="T203" i="20"/>
  <c r="S203" i="20"/>
  <c r="O203" i="20"/>
  <c r="N203" i="20"/>
  <c r="M203" i="20"/>
  <c r="J203" i="20"/>
  <c r="U202" i="20"/>
  <c r="T202" i="20"/>
  <c r="S202" i="20"/>
  <c r="O202" i="20"/>
  <c r="N202" i="20"/>
  <c r="M202" i="20"/>
  <c r="J202" i="20"/>
  <c r="U201" i="20"/>
  <c r="T201" i="20"/>
  <c r="S201" i="20"/>
  <c r="O201" i="20"/>
  <c r="N201" i="20"/>
  <c r="M201" i="20"/>
  <c r="J201" i="20"/>
  <c r="U200" i="20"/>
  <c r="T200" i="20"/>
  <c r="S200" i="20"/>
  <c r="O200" i="20"/>
  <c r="N200" i="20"/>
  <c r="M200" i="20"/>
  <c r="J200" i="20"/>
  <c r="U199" i="20"/>
  <c r="T199" i="20"/>
  <c r="S199" i="20"/>
  <c r="O199" i="20"/>
  <c r="N199" i="20"/>
  <c r="M199" i="20"/>
  <c r="J199" i="20"/>
  <c r="U198" i="20"/>
  <c r="T198" i="20"/>
  <c r="S198" i="20"/>
  <c r="O198" i="20"/>
  <c r="N198" i="20"/>
  <c r="M198" i="20"/>
  <c r="J198" i="20"/>
  <c r="U197" i="20"/>
  <c r="T197" i="20"/>
  <c r="S197" i="20"/>
  <c r="O197" i="20"/>
  <c r="N197" i="20"/>
  <c r="M197" i="20"/>
  <c r="J197" i="20"/>
  <c r="U196" i="20"/>
  <c r="T196" i="20"/>
  <c r="S196" i="20"/>
  <c r="O196" i="20"/>
  <c r="N196" i="20"/>
  <c r="M196" i="20"/>
  <c r="J196" i="20"/>
  <c r="U195" i="20"/>
  <c r="T195" i="20"/>
  <c r="S195" i="20"/>
  <c r="O195" i="20"/>
  <c r="N195" i="20"/>
  <c r="M195" i="20"/>
  <c r="J195" i="20"/>
  <c r="U194" i="20"/>
  <c r="T194" i="20"/>
  <c r="S194" i="20"/>
  <c r="O194" i="20"/>
  <c r="N194" i="20"/>
  <c r="M194" i="20"/>
  <c r="J194" i="20"/>
  <c r="U193" i="20"/>
  <c r="T193" i="20"/>
  <c r="S193" i="20"/>
  <c r="O193" i="20"/>
  <c r="N193" i="20"/>
  <c r="M193" i="20"/>
  <c r="J193" i="20"/>
  <c r="U192" i="20"/>
  <c r="T192" i="20"/>
  <c r="S192" i="20"/>
  <c r="O192" i="20"/>
  <c r="N192" i="20"/>
  <c r="M192" i="20"/>
  <c r="J192" i="20"/>
  <c r="U191" i="20"/>
  <c r="T191" i="20"/>
  <c r="S191" i="20"/>
  <c r="O191" i="20"/>
  <c r="N191" i="20"/>
  <c r="M191" i="20"/>
  <c r="J191" i="20"/>
  <c r="U190" i="20"/>
  <c r="T190" i="20"/>
  <c r="S190" i="20"/>
  <c r="O190" i="20"/>
  <c r="N190" i="20"/>
  <c r="M190" i="20"/>
  <c r="J190" i="20"/>
  <c r="U189" i="20"/>
  <c r="T189" i="20"/>
  <c r="S189" i="20"/>
  <c r="O189" i="20"/>
  <c r="N189" i="20"/>
  <c r="M189" i="20"/>
  <c r="J189" i="20"/>
  <c r="U188" i="20"/>
  <c r="T188" i="20"/>
  <c r="S188" i="20"/>
  <c r="O188" i="20"/>
  <c r="N188" i="20"/>
  <c r="M188" i="20"/>
  <c r="J188" i="20"/>
  <c r="U187" i="20"/>
  <c r="T187" i="20"/>
  <c r="S187" i="20"/>
  <c r="O187" i="20"/>
  <c r="N187" i="20"/>
  <c r="M187" i="20"/>
  <c r="J187" i="20"/>
  <c r="U186" i="20"/>
  <c r="T186" i="20"/>
  <c r="S186" i="20"/>
  <c r="O186" i="20"/>
  <c r="N186" i="20"/>
  <c r="M186" i="20"/>
  <c r="J186" i="20"/>
  <c r="U185" i="20"/>
  <c r="T185" i="20"/>
  <c r="S185" i="20"/>
  <c r="O185" i="20"/>
  <c r="N185" i="20"/>
  <c r="M185" i="20"/>
  <c r="J185" i="20"/>
  <c r="U184" i="20"/>
  <c r="T184" i="20"/>
  <c r="S184" i="20"/>
  <c r="O184" i="20"/>
  <c r="N184" i="20"/>
  <c r="M184" i="20"/>
  <c r="J184" i="20"/>
  <c r="U183" i="20"/>
  <c r="T183" i="20"/>
  <c r="S183" i="20"/>
  <c r="O183" i="20"/>
  <c r="N183" i="20"/>
  <c r="M183" i="20"/>
  <c r="J183" i="20"/>
  <c r="U182" i="20"/>
  <c r="T182" i="20"/>
  <c r="S182" i="20"/>
  <c r="O182" i="20"/>
  <c r="N182" i="20"/>
  <c r="M182" i="20"/>
  <c r="J182" i="20"/>
  <c r="U181" i="20"/>
  <c r="T181" i="20"/>
  <c r="S181" i="20"/>
  <c r="O181" i="20"/>
  <c r="N181" i="20"/>
  <c r="M181" i="20"/>
  <c r="J181" i="20"/>
  <c r="U180" i="20"/>
  <c r="T180" i="20"/>
  <c r="S180" i="20"/>
  <c r="O180" i="20"/>
  <c r="N180" i="20"/>
  <c r="M180" i="20"/>
  <c r="J180" i="20"/>
  <c r="U179" i="20"/>
  <c r="T179" i="20"/>
  <c r="S179" i="20"/>
  <c r="O179" i="20"/>
  <c r="N179" i="20"/>
  <c r="M179" i="20"/>
  <c r="J179" i="20"/>
  <c r="U178" i="20"/>
  <c r="T178" i="20"/>
  <c r="S178" i="20"/>
  <c r="O178" i="20"/>
  <c r="N178" i="20"/>
  <c r="M178" i="20"/>
  <c r="J178" i="20"/>
  <c r="U177" i="20"/>
  <c r="T177" i="20"/>
  <c r="S177" i="20"/>
  <c r="O177" i="20"/>
  <c r="N177" i="20"/>
  <c r="M177" i="20"/>
  <c r="J177" i="20"/>
  <c r="U176" i="20"/>
  <c r="T176" i="20"/>
  <c r="S176" i="20"/>
  <c r="O176" i="20"/>
  <c r="N176" i="20"/>
  <c r="M176" i="20"/>
  <c r="J176" i="20"/>
  <c r="U175" i="20"/>
  <c r="T175" i="20"/>
  <c r="S175" i="20"/>
  <c r="O175" i="20"/>
  <c r="N175" i="20"/>
  <c r="M175" i="20"/>
  <c r="J175" i="20"/>
  <c r="U174" i="20"/>
  <c r="T174" i="20"/>
  <c r="S174" i="20"/>
  <c r="O174" i="20"/>
  <c r="N174" i="20"/>
  <c r="M174" i="20"/>
  <c r="J174" i="20"/>
  <c r="U173" i="20"/>
  <c r="T173" i="20"/>
  <c r="S173" i="20"/>
  <c r="O173" i="20"/>
  <c r="N173" i="20"/>
  <c r="M173" i="20"/>
  <c r="J173" i="20"/>
  <c r="U172" i="20"/>
  <c r="T172" i="20"/>
  <c r="S172" i="20"/>
  <c r="O172" i="20"/>
  <c r="N172" i="20"/>
  <c r="M172" i="20"/>
  <c r="J172" i="20"/>
  <c r="U171" i="20"/>
  <c r="T171" i="20"/>
  <c r="S171" i="20"/>
  <c r="O171" i="20"/>
  <c r="N171" i="20"/>
  <c r="M171" i="20"/>
  <c r="J171" i="20"/>
  <c r="U170" i="20"/>
  <c r="T170" i="20"/>
  <c r="S170" i="20"/>
  <c r="O170" i="20"/>
  <c r="N170" i="20"/>
  <c r="M170" i="20"/>
  <c r="J170" i="20"/>
  <c r="U169" i="20"/>
  <c r="T169" i="20"/>
  <c r="S169" i="20"/>
  <c r="O169" i="20"/>
  <c r="N169" i="20"/>
  <c r="M169" i="20"/>
  <c r="J169" i="20"/>
  <c r="U168" i="20"/>
  <c r="T168" i="20"/>
  <c r="S168" i="20"/>
  <c r="O168" i="20"/>
  <c r="N168" i="20"/>
  <c r="M168" i="20"/>
  <c r="J168" i="20"/>
  <c r="U167" i="20"/>
  <c r="T167" i="20"/>
  <c r="S167" i="20"/>
  <c r="O167" i="20"/>
  <c r="N167" i="20"/>
  <c r="M167" i="20"/>
  <c r="J167" i="20"/>
  <c r="U166" i="20"/>
  <c r="T166" i="20"/>
  <c r="S166" i="20"/>
  <c r="O166" i="20"/>
  <c r="N166" i="20"/>
  <c r="M166" i="20"/>
  <c r="J166" i="20"/>
  <c r="U165" i="20"/>
  <c r="T165" i="20"/>
  <c r="S165" i="20"/>
  <c r="O165" i="20"/>
  <c r="N165" i="20"/>
  <c r="M165" i="20"/>
  <c r="J165" i="20"/>
  <c r="U164" i="20"/>
  <c r="T164" i="20"/>
  <c r="S164" i="20"/>
  <c r="O164" i="20"/>
  <c r="N164" i="20"/>
  <c r="M164" i="20"/>
  <c r="J164" i="20"/>
  <c r="U163" i="20"/>
  <c r="T163" i="20"/>
  <c r="S163" i="20"/>
  <c r="O163" i="20"/>
  <c r="N163" i="20"/>
  <c r="M163" i="20"/>
  <c r="J163" i="20"/>
  <c r="U162" i="20"/>
  <c r="T162" i="20"/>
  <c r="S162" i="20"/>
  <c r="O162" i="20"/>
  <c r="N162" i="20"/>
  <c r="M162" i="20"/>
  <c r="J162" i="20"/>
  <c r="U161" i="20"/>
  <c r="T161" i="20"/>
  <c r="S161" i="20"/>
  <c r="O161" i="20"/>
  <c r="N161" i="20"/>
  <c r="M161" i="20"/>
  <c r="J161" i="20"/>
  <c r="U160" i="20"/>
  <c r="T160" i="20"/>
  <c r="S160" i="20"/>
  <c r="O160" i="20"/>
  <c r="N160" i="20"/>
  <c r="M160" i="20"/>
  <c r="J160" i="20"/>
  <c r="U159" i="20"/>
  <c r="T159" i="20"/>
  <c r="S159" i="20"/>
  <c r="O159" i="20"/>
  <c r="N159" i="20"/>
  <c r="M159" i="20"/>
  <c r="J159" i="20"/>
  <c r="U158" i="20"/>
  <c r="T158" i="20"/>
  <c r="S158" i="20"/>
  <c r="O158" i="20"/>
  <c r="N158" i="20"/>
  <c r="M158" i="20"/>
  <c r="J158" i="20"/>
  <c r="U157" i="20"/>
  <c r="T157" i="20"/>
  <c r="S157" i="20"/>
  <c r="O157" i="20"/>
  <c r="N157" i="20"/>
  <c r="M157" i="20"/>
  <c r="J157" i="20"/>
  <c r="U156" i="20"/>
  <c r="T156" i="20"/>
  <c r="S156" i="20"/>
  <c r="O156" i="20"/>
  <c r="N156" i="20"/>
  <c r="M156" i="20"/>
  <c r="J156" i="20"/>
  <c r="U155" i="20"/>
  <c r="T155" i="20"/>
  <c r="S155" i="20"/>
  <c r="O155" i="20"/>
  <c r="N155" i="20"/>
  <c r="M155" i="20"/>
  <c r="J155" i="20"/>
  <c r="U154" i="20"/>
  <c r="T154" i="20"/>
  <c r="S154" i="20"/>
  <c r="O154" i="20"/>
  <c r="N154" i="20"/>
  <c r="M154" i="20"/>
  <c r="J154" i="20"/>
  <c r="U153" i="20"/>
  <c r="T153" i="20"/>
  <c r="S153" i="20"/>
  <c r="O153" i="20"/>
  <c r="N153" i="20"/>
  <c r="M153" i="20"/>
  <c r="J153" i="20"/>
  <c r="U152" i="20"/>
  <c r="T152" i="20"/>
  <c r="S152" i="20"/>
  <c r="O152" i="20"/>
  <c r="N152" i="20"/>
  <c r="M152" i="20"/>
  <c r="J152" i="20"/>
  <c r="U151" i="20"/>
  <c r="T151" i="20"/>
  <c r="S151" i="20"/>
  <c r="O151" i="20"/>
  <c r="N151" i="20"/>
  <c r="M151" i="20"/>
  <c r="J151" i="20"/>
  <c r="U150" i="20"/>
  <c r="T150" i="20"/>
  <c r="S150" i="20"/>
  <c r="O150" i="20"/>
  <c r="N150" i="20"/>
  <c r="M150" i="20"/>
  <c r="J150" i="20"/>
  <c r="U149" i="20"/>
  <c r="T149" i="20"/>
  <c r="S149" i="20"/>
  <c r="O149" i="20"/>
  <c r="N149" i="20"/>
  <c r="M149" i="20"/>
  <c r="J149" i="20"/>
  <c r="U148" i="20"/>
  <c r="T148" i="20"/>
  <c r="S148" i="20"/>
  <c r="O148" i="20"/>
  <c r="N148" i="20"/>
  <c r="M148" i="20"/>
  <c r="J148" i="20"/>
  <c r="U147" i="20"/>
  <c r="T147" i="20"/>
  <c r="S147" i="20"/>
  <c r="O147" i="20"/>
  <c r="N147" i="20"/>
  <c r="M147" i="20"/>
  <c r="J147" i="20"/>
  <c r="U146" i="20"/>
  <c r="T146" i="20"/>
  <c r="S146" i="20"/>
  <c r="O146" i="20"/>
  <c r="N146" i="20"/>
  <c r="M146" i="20"/>
  <c r="J146" i="20"/>
  <c r="U145" i="20"/>
  <c r="T145" i="20"/>
  <c r="S145" i="20"/>
  <c r="O145" i="20"/>
  <c r="N145" i="20"/>
  <c r="M145" i="20"/>
  <c r="J145" i="20"/>
  <c r="U144" i="20"/>
  <c r="T144" i="20"/>
  <c r="S144" i="20"/>
  <c r="O144" i="20"/>
  <c r="N144" i="20"/>
  <c r="M144" i="20"/>
  <c r="J144" i="20"/>
  <c r="U143" i="20"/>
  <c r="T143" i="20"/>
  <c r="S143" i="20"/>
  <c r="O143" i="20"/>
  <c r="N143" i="20"/>
  <c r="M143" i="20"/>
  <c r="J143" i="20"/>
  <c r="U142" i="20"/>
  <c r="T142" i="20"/>
  <c r="S142" i="20"/>
  <c r="O142" i="20"/>
  <c r="N142" i="20"/>
  <c r="M142" i="20"/>
  <c r="J142" i="20"/>
  <c r="U141" i="20"/>
  <c r="T141" i="20"/>
  <c r="S141" i="20"/>
  <c r="O141" i="20"/>
  <c r="N141" i="20"/>
  <c r="M141" i="20"/>
  <c r="J141" i="20"/>
  <c r="U140" i="20"/>
  <c r="T140" i="20"/>
  <c r="S140" i="20"/>
  <c r="O140" i="20"/>
  <c r="N140" i="20"/>
  <c r="M140" i="20"/>
  <c r="J140" i="20"/>
  <c r="U139" i="20"/>
  <c r="T139" i="20"/>
  <c r="S139" i="20"/>
  <c r="O139" i="20"/>
  <c r="N139" i="20"/>
  <c r="M139" i="20"/>
  <c r="J139" i="20"/>
  <c r="U138" i="20"/>
  <c r="T138" i="20"/>
  <c r="S138" i="20"/>
  <c r="O138" i="20"/>
  <c r="N138" i="20"/>
  <c r="M138" i="20"/>
  <c r="J138" i="20"/>
  <c r="U137" i="20"/>
  <c r="T137" i="20"/>
  <c r="S137" i="20"/>
  <c r="O137" i="20"/>
  <c r="N137" i="20"/>
  <c r="M137" i="20"/>
  <c r="J137" i="20"/>
  <c r="U136" i="20"/>
  <c r="T136" i="20"/>
  <c r="S136" i="20"/>
  <c r="O136" i="20"/>
  <c r="N136" i="20"/>
  <c r="M136" i="20"/>
  <c r="J136" i="20"/>
  <c r="U135" i="20"/>
  <c r="T135" i="20"/>
  <c r="S135" i="20"/>
  <c r="O135" i="20"/>
  <c r="N135" i="20"/>
  <c r="M135" i="20"/>
  <c r="J135" i="20"/>
  <c r="U134" i="20"/>
  <c r="T134" i="20"/>
  <c r="S134" i="20"/>
  <c r="O134" i="20"/>
  <c r="N134" i="20"/>
  <c r="M134" i="20"/>
  <c r="J134" i="20"/>
  <c r="U133" i="20"/>
  <c r="T133" i="20"/>
  <c r="S133" i="20"/>
  <c r="O133" i="20"/>
  <c r="N133" i="20"/>
  <c r="M133" i="20"/>
  <c r="J133" i="20"/>
  <c r="U132" i="20"/>
  <c r="T132" i="20"/>
  <c r="S132" i="20"/>
  <c r="O132" i="20"/>
  <c r="N132" i="20"/>
  <c r="M132" i="20"/>
  <c r="J132" i="20"/>
  <c r="U131" i="20"/>
  <c r="T131" i="20"/>
  <c r="S131" i="20"/>
  <c r="O131" i="20"/>
  <c r="N131" i="20"/>
  <c r="M131" i="20"/>
  <c r="J131" i="20"/>
  <c r="U130" i="20"/>
  <c r="T130" i="20"/>
  <c r="S130" i="20"/>
  <c r="O130" i="20"/>
  <c r="N130" i="20"/>
  <c r="M130" i="20"/>
  <c r="J130" i="20"/>
  <c r="U129" i="20"/>
  <c r="T129" i="20"/>
  <c r="S129" i="20"/>
  <c r="O129" i="20"/>
  <c r="N129" i="20"/>
  <c r="M129" i="20"/>
  <c r="J129" i="20"/>
  <c r="U128" i="20"/>
  <c r="T128" i="20"/>
  <c r="S128" i="20"/>
  <c r="O128" i="20"/>
  <c r="N128" i="20"/>
  <c r="M128" i="20"/>
  <c r="J128" i="20"/>
  <c r="U127" i="20"/>
  <c r="T127" i="20"/>
  <c r="S127" i="20"/>
  <c r="O127" i="20"/>
  <c r="N127" i="20"/>
  <c r="M127" i="20"/>
  <c r="J127" i="20"/>
  <c r="U126" i="20"/>
  <c r="T126" i="20"/>
  <c r="S126" i="20"/>
  <c r="O126" i="20"/>
  <c r="N126" i="20"/>
  <c r="M126" i="20"/>
  <c r="J126" i="20"/>
  <c r="U125" i="20"/>
  <c r="T125" i="20"/>
  <c r="S125" i="20"/>
  <c r="O125" i="20"/>
  <c r="N125" i="20"/>
  <c r="M125" i="20"/>
  <c r="J125" i="20"/>
  <c r="U124" i="20"/>
  <c r="T124" i="20"/>
  <c r="S124" i="20"/>
  <c r="O124" i="20"/>
  <c r="N124" i="20"/>
  <c r="M124" i="20"/>
  <c r="J124" i="20"/>
  <c r="U123" i="20"/>
  <c r="T123" i="20"/>
  <c r="S123" i="20"/>
  <c r="O123" i="20"/>
  <c r="N123" i="20"/>
  <c r="M123" i="20"/>
  <c r="J123" i="20"/>
  <c r="U122" i="20"/>
  <c r="T122" i="20"/>
  <c r="S122" i="20"/>
  <c r="O122" i="20"/>
  <c r="N122" i="20"/>
  <c r="M122" i="20"/>
  <c r="J122" i="20"/>
  <c r="U121" i="20"/>
  <c r="T121" i="20"/>
  <c r="S121" i="20"/>
  <c r="O121" i="20"/>
  <c r="N121" i="20"/>
  <c r="M121" i="20"/>
  <c r="J121" i="20"/>
  <c r="U120" i="20"/>
  <c r="T120" i="20"/>
  <c r="S120" i="20"/>
  <c r="O120" i="20"/>
  <c r="N120" i="20"/>
  <c r="M120" i="20"/>
  <c r="J120" i="20"/>
  <c r="U119" i="20"/>
  <c r="T119" i="20"/>
  <c r="S119" i="20"/>
  <c r="O119" i="20"/>
  <c r="N119" i="20"/>
  <c r="M119" i="20"/>
  <c r="J119" i="20"/>
  <c r="U118" i="20"/>
  <c r="T118" i="20"/>
  <c r="S118" i="20"/>
  <c r="O118" i="20"/>
  <c r="N118" i="20"/>
  <c r="M118" i="20"/>
  <c r="J118" i="20"/>
  <c r="U117" i="20"/>
  <c r="T117" i="20"/>
  <c r="S117" i="20"/>
  <c r="O117" i="20"/>
  <c r="N117" i="20"/>
  <c r="M117" i="20"/>
  <c r="J117" i="20"/>
  <c r="U116" i="20"/>
  <c r="T116" i="20"/>
  <c r="S116" i="20"/>
  <c r="O116" i="20"/>
  <c r="N116" i="20"/>
  <c r="M116" i="20"/>
  <c r="J116" i="20"/>
  <c r="U115" i="20"/>
  <c r="T115" i="20"/>
  <c r="S115" i="20"/>
  <c r="O115" i="20"/>
  <c r="N115" i="20"/>
  <c r="M115" i="20"/>
  <c r="J115" i="20"/>
  <c r="U114" i="20"/>
  <c r="T114" i="20"/>
  <c r="S114" i="20"/>
  <c r="O114" i="20"/>
  <c r="N114" i="20"/>
  <c r="M114" i="20"/>
  <c r="J114" i="20"/>
  <c r="U113" i="20"/>
  <c r="T113" i="20"/>
  <c r="S113" i="20"/>
  <c r="O113" i="20"/>
  <c r="N113" i="20"/>
  <c r="M113" i="20"/>
  <c r="J113" i="20"/>
  <c r="U112" i="20"/>
  <c r="T112" i="20"/>
  <c r="S112" i="20"/>
  <c r="O112" i="20"/>
  <c r="N112" i="20"/>
  <c r="M112" i="20"/>
  <c r="J112" i="20"/>
  <c r="U111" i="20"/>
  <c r="T111" i="20"/>
  <c r="S111" i="20"/>
  <c r="O111" i="20"/>
  <c r="N111" i="20"/>
  <c r="M111" i="20"/>
  <c r="J111" i="20"/>
  <c r="U110" i="20"/>
  <c r="T110" i="20"/>
  <c r="S110" i="20"/>
  <c r="O110" i="20"/>
  <c r="N110" i="20"/>
  <c r="M110" i="20"/>
  <c r="J110" i="20"/>
  <c r="U109" i="20"/>
  <c r="T109" i="20"/>
  <c r="S109" i="20"/>
  <c r="O109" i="20"/>
  <c r="N109" i="20"/>
  <c r="M109" i="20"/>
  <c r="J109" i="20"/>
  <c r="U108" i="20"/>
  <c r="T108" i="20"/>
  <c r="S108" i="20"/>
  <c r="O108" i="20"/>
  <c r="N108" i="20"/>
  <c r="M108" i="20"/>
  <c r="J108" i="20"/>
  <c r="U107" i="20"/>
  <c r="T107" i="20"/>
  <c r="S107" i="20"/>
  <c r="O107" i="20"/>
  <c r="N107" i="20"/>
  <c r="M107" i="20"/>
  <c r="J107" i="20"/>
  <c r="U106" i="20"/>
  <c r="T106" i="20"/>
  <c r="S106" i="20"/>
  <c r="O106" i="20"/>
  <c r="N106" i="20"/>
  <c r="M106" i="20"/>
  <c r="J106" i="20"/>
  <c r="U105" i="20"/>
  <c r="T105" i="20"/>
  <c r="S105" i="20"/>
  <c r="O105" i="20"/>
  <c r="N105" i="20"/>
  <c r="M105" i="20"/>
  <c r="J105" i="20"/>
  <c r="U104" i="20"/>
  <c r="T104" i="20"/>
  <c r="S104" i="20"/>
  <c r="O104" i="20"/>
  <c r="N104" i="20"/>
  <c r="M104" i="20"/>
  <c r="J104" i="20"/>
  <c r="U103" i="20"/>
  <c r="T103" i="20"/>
  <c r="S103" i="20"/>
  <c r="O103" i="20"/>
  <c r="N103" i="20"/>
  <c r="M103" i="20"/>
  <c r="J103" i="20"/>
  <c r="U102" i="20"/>
  <c r="T102" i="20"/>
  <c r="S102" i="20"/>
  <c r="O102" i="20"/>
  <c r="N102" i="20"/>
  <c r="M102" i="20"/>
  <c r="J102" i="20"/>
  <c r="U101" i="20"/>
  <c r="T101" i="20"/>
  <c r="S101" i="20"/>
  <c r="O101" i="20"/>
  <c r="N101" i="20"/>
  <c r="M101" i="20"/>
  <c r="J101" i="20"/>
  <c r="U100" i="20"/>
  <c r="T100" i="20"/>
  <c r="S100" i="20"/>
  <c r="O100" i="20"/>
  <c r="N100" i="20"/>
  <c r="M100" i="20"/>
  <c r="J100" i="20"/>
  <c r="U99" i="20"/>
  <c r="T99" i="20"/>
  <c r="S99" i="20"/>
  <c r="O99" i="20"/>
  <c r="N99" i="20"/>
  <c r="M99" i="20"/>
  <c r="J99" i="20"/>
  <c r="U98" i="20"/>
  <c r="T98" i="20"/>
  <c r="S98" i="20"/>
  <c r="O98" i="20"/>
  <c r="N98" i="20"/>
  <c r="M98" i="20"/>
  <c r="J98" i="20"/>
  <c r="U97" i="20"/>
  <c r="T97" i="20"/>
  <c r="S97" i="20"/>
  <c r="O97" i="20"/>
  <c r="N97" i="20"/>
  <c r="M97" i="20"/>
  <c r="J97" i="20"/>
  <c r="U96" i="20"/>
  <c r="T96" i="20"/>
  <c r="S96" i="20"/>
  <c r="O96" i="20"/>
  <c r="N96" i="20"/>
  <c r="M96" i="20"/>
  <c r="J96" i="20"/>
  <c r="U95" i="20"/>
  <c r="T95" i="20"/>
  <c r="S95" i="20"/>
  <c r="O95" i="20"/>
  <c r="N95" i="20"/>
  <c r="M95" i="20"/>
  <c r="J95" i="20"/>
  <c r="U94" i="20"/>
  <c r="T94" i="20"/>
  <c r="S94" i="20"/>
  <c r="O94" i="20"/>
  <c r="N94" i="20"/>
  <c r="M94" i="20"/>
  <c r="J94" i="20"/>
  <c r="U93" i="20"/>
  <c r="T93" i="20"/>
  <c r="S93" i="20"/>
  <c r="O93" i="20"/>
  <c r="N93" i="20"/>
  <c r="M93" i="20"/>
  <c r="J93" i="20"/>
  <c r="U92" i="20"/>
  <c r="T92" i="20"/>
  <c r="S92" i="20"/>
  <c r="O92" i="20"/>
  <c r="N92" i="20"/>
  <c r="M92" i="20"/>
  <c r="J92" i="20"/>
  <c r="U91" i="20"/>
  <c r="T91" i="20"/>
  <c r="S91" i="20"/>
  <c r="O91" i="20"/>
  <c r="N91" i="20"/>
  <c r="M91" i="20"/>
  <c r="J91" i="20"/>
  <c r="U90" i="20"/>
  <c r="T90" i="20"/>
  <c r="S90" i="20"/>
  <c r="O90" i="20"/>
  <c r="N90" i="20"/>
  <c r="M90" i="20"/>
  <c r="J90" i="20"/>
  <c r="U89" i="20"/>
  <c r="T89" i="20"/>
  <c r="S89" i="20"/>
  <c r="O89" i="20"/>
  <c r="N89" i="20"/>
  <c r="M89" i="20"/>
  <c r="J89" i="20"/>
  <c r="U88" i="20"/>
  <c r="T88" i="20"/>
  <c r="S88" i="20"/>
  <c r="O88" i="20"/>
  <c r="N88" i="20"/>
  <c r="M88" i="20"/>
  <c r="J88" i="20"/>
  <c r="U87" i="20"/>
  <c r="T87" i="20"/>
  <c r="S87" i="20"/>
  <c r="O87" i="20"/>
  <c r="N87" i="20"/>
  <c r="M87" i="20"/>
  <c r="J87" i="20"/>
  <c r="U86" i="20"/>
  <c r="T86" i="20"/>
  <c r="S86" i="20"/>
  <c r="O86" i="20"/>
  <c r="N86" i="20"/>
  <c r="M86" i="20"/>
  <c r="J86" i="20"/>
  <c r="U85" i="20"/>
  <c r="T85" i="20"/>
  <c r="S85" i="20"/>
  <c r="O85" i="20"/>
  <c r="N85" i="20"/>
  <c r="M85" i="20"/>
  <c r="J85" i="20"/>
  <c r="U84" i="20"/>
  <c r="T84" i="20"/>
  <c r="S84" i="20"/>
  <c r="O84" i="20"/>
  <c r="N84" i="20"/>
  <c r="M84" i="20"/>
  <c r="J84" i="20"/>
  <c r="U83" i="20"/>
  <c r="T83" i="20"/>
  <c r="S83" i="20"/>
  <c r="O83" i="20"/>
  <c r="N83" i="20"/>
  <c r="M83" i="20"/>
  <c r="J83" i="20"/>
  <c r="U82" i="20"/>
  <c r="T82" i="20"/>
  <c r="S82" i="20"/>
  <c r="O82" i="20"/>
  <c r="N82" i="20"/>
  <c r="M82" i="20"/>
  <c r="J82" i="20"/>
  <c r="U81" i="20"/>
  <c r="T81" i="20"/>
  <c r="S81" i="20"/>
  <c r="O81" i="20"/>
  <c r="N81" i="20"/>
  <c r="M81" i="20"/>
  <c r="J81" i="20"/>
  <c r="U80" i="20"/>
  <c r="T80" i="20"/>
  <c r="S80" i="20"/>
  <c r="O80" i="20"/>
  <c r="N80" i="20"/>
  <c r="M80" i="20"/>
  <c r="J80" i="20"/>
  <c r="U79" i="20"/>
  <c r="T79" i="20"/>
  <c r="S79" i="20"/>
  <c r="O79" i="20"/>
  <c r="N79" i="20"/>
  <c r="M79" i="20"/>
  <c r="J79" i="20"/>
  <c r="U78" i="20"/>
  <c r="T78" i="20"/>
  <c r="S78" i="20"/>
  <c r="O78" i="20"/>
  <c r="N78" i="20"/>
  <c r="M78" i="20"/>
  <c r="J78" i="20"/>
  <c r="U77" i="20"/>
  <c r="T77" i="20"/>
  <c r="S77" i="20"/>
  <c r="O77" i="20"/>
  <c r="N77" i="20"/>
  <c r="M77" i="20"/>
  <c r="J77" i="20"/>
  <c r="U76" i="20"/>
  <c r="T76" i="20"/>
  <c r="S76" i="20"/>
  <c r="O76" i="20"/>
  <c r="N76" i="20"/>
  <c r="M76" i="20"/>
  <c r="J76" i="20"/>
  <c r="U75" i="20"/>
  <c r="T75" i="20"/>
  <c r="S75" i="20"/>
  <c r="O75" i="20"/>
  <c r="N75" i="20"/>
  <c r="M75" i="20"/>
  <c r="J75" i="20"/>
  <c r="U74" i="20"/>
  <c r="T74" i="20"/>
  <c r="S74" i="20"/>
  <c r="O74" i="20"/>
  <c r="N74" i="20"/>
  <c r="M74" i="20"/>
  <c r="J74" i="20"/>
  <c r="U73" i="20"/>
  <c r="T73" i="20"/>
  <c r="S73" i="20"/>
  <c r="O73" i="20"/>
  <c r="N73" i="20"/>
  <c r="M73" i="20"/>
  <c r="J73" i="20"/>
  <c r="U72" i="20"/>
  <c r="T72" i="20"/>
  <c r="S72" i="20"/>
  <c r="O72" i="20"/>
  <c r="N72" i="20"/>
  <c r="M72" i="20"/>
  <c r="J72" i="20"/>
  <c r="U71" i="20"/>
  <c r="T71" i="20"/>
  <c r="S71" i="20"/>
  <c r="O71" i="20"/>
  <c r="N71" i="20"/>
  <c r="M71" i="20"/>
  <c r="J71" i="20"/>
  <c r="U70" i="20"/>
  <c r="T70" i="20"/>
  <c r="S70" i="20"/>
  <c r="O70" i="20"/>
  <c r="N70" i="20"/>
  <c r="M70" i="20"/>
  <c r="J70" i="20"/>
  <c r="U69" i="20"/>
  <c r="T69" i="20"/>
  <c r="S69" i="20"/>
  <c r="O69" i="20"/>
  <c r="N69" i="20"/>
  <c r="M69" i="20"/>
  <c r="J69" i="20"/>
  <c r="U68" i="20"/>
  <c r="T68" i="20"/>
  <c r="S68" i="20"/>
  <c r="O68" i="20"/>
  <c r="N68" i="20"/>
  <c r="M68" i="20"/>
  <c r="J68" i="20"/>
  <c r="U67" i="20"/>
  <c r="T67" i="20"/>
  <c r="S67" i="20"/>
  <c r="O67" i="20"/>
  <c r="N67" i="20"/>
  <c r="M67" i="20"/>
  <c r="J67" i="20"/>
  <c r="U66" i="20"/>
  <c r="T66" i="20"/>
  <c r="S66" i="20"/>
  <c r="O66" i="20"/>
  <c r="N66" i="20"/>
  <c r="M66" i="20"/>
  <c r="J66" i="20"/>
  <c r="U65" i="20"/>
  <c r="T65" i="20"/>
  <c r="S65" i="20"/>
  <c r="O65" i="20"/>
  <c r="N65" i="20"/>
  <c r="M65" i="20"/>
  <c r="J65" i="20"/>
  <c r="U64" i="20"/>
  <c r="T64" i="20"/>
  <c r="S64" i="20"/>
  <c r="O64" i="20"/>
  <c r="N64" i="20"/>
  <c r="M64" i="20"/>
  <c r="J64" i="20"/>
  <c r="U63" i="20"/>
  <c r="T63" i="20"/>
  <c r="S63" i="20"/>
  <c r="O63" i="20"/>
  <c r="N63" i="20"/>
  <c r="M63" i="20"/>
  <c r="J63" i="20"/>
  <c r="U62" i="20"/>
  <c r="T62" i="20"/>
  <c r="S62" i="20"/>
  <c r="O62" i="20"/>
  <c r="N62" i="20"/>
  <c r="M62" i="20"/>
  <c r="J62" i="20"/>
  <c r="U61" i="20"/>
  <c r="T61" i="20"/>
  <c r="S61" i="20"/>
  <c r="O61" i="20"/>
  <c r="N61" i="20"/>
  <c r="M61" i="20"/>
  <c r="J61" i="20"/>
  <c r="U60" i="20"/>
  <c r="T60" i="20"/>
  <c r="S60" i="20"/>
  <c r="O60" i="20"/>
  <c r="N60" i="20"/>
  <c r="M60" i="20"/>
  <c r="J60" i="20"/>
  <c r="U59" i="20"/>
  <c r="T59" i="20"/>
  <c r="S59" i="20"/>
  <c r="O59" i="20"/>
  <c r="N59" i="20"/>
  <c r="M59" i="20"/>
  <c r="J59" i="20"/>
  <c r="U58" i="20"/>
  <c r="T58" i="20"/>
  <c r="S58" i="20"/>
  <c r="O58" i="20"/>
  <c r="N58" i="20"/>
  <c r="M58" i="20"/>
  <c r="J58" i="20"/>
  <c r="U57" i="20"/>
  <c r="T57" i="20"/>
  <c r="S57" i="20"/>
  <c r="O57" i="20"/>
  <c r="N57" i="20"/>
  <c r="M57" i="20"/>
  <c r="J57" i="20"/>
  <c r="U56" i="20"/>
  <c r="T56" i="20"/>
  <c r="S56" i="20"/>
  <c r="O56" i="20"/>
  <c r="N56" i="20"/>
  <c r="M56" i="20"/>
  <c r="J56" i="20"/>
  <c r="U55" i="20"/>
  <c r="T55" i="20"/>
  <c r="S55" i="20"/>
  <c r="O55" i="20"/>
  <c r="N55" i="20"/>
  <c r="M55" i="20"/>
  <c r="J55" i="20"/>
  <c r="U54" i="20"/>
  <c r="T54" i="20"/>
  <c r="S54" i="20"/>
  <c r="O54" i="20"/>
  <c r="N54" i="20"/>
  <c r="M54" i="20"/>
  <c r="J54" i="20"/>
  <c r="U53" i="20"/>
  <c r="T53" i="20"/>
  <c r="S53" i="20"/>
  <c r="O53" i="20"/>
  <c r="N53" i="20"/>
  <c r="M53" i="20"/>
  <c r="J53" i="20"/>
  <c r="U52" i="20"/>
  <c r="T52" i="20"/>
  <c r="S52" i="20"/>
  <c r="O52" i="20"/>
  <c r="N52" i="20"/>
  <c r="M52" i="20"/>
  <c r="J52" i="20"/>
  <c r="U51" i="20"/>
  <c r="T51" i="20"/>
  <c r="S51" i="20"/>
  <c r="O51" i="20"/>
  <c r="N51" i="20"/>
  <c r="M51" i="20"/>
  <c r="J51" i="20"/>
  <c r="U50" i="20"/>
  <c r="T50" i="20"/>
  <c r="S50" i="20"/>
  <c r="O50" i="20"/>
  <c r="N50" i="20"/>
  <c r="M50" i="20"/>
  <c r="J50" i="20"/>
  <c r="U49" i="20"/>
  <c r="T49" i="20"/>
  <c r="S49" i="20"/>
  <c r="O49" i="20"/>
  <c r="N49" i="20"/>
  <c r="M49" i="20"/>
  <c r="J49" i="20"/>
  <c r="U48" i="20"/>
  <c r="T48" i="20"/>
  <c r="S48" i="20"/>
  <c r="O48" i="20"/>
  <c r="N48" i="20"/>
  <c r="M48" i="20"/>
  <c r="J48" i="20"/>
  <c r="U47" i="20"/>
  <c r="T47" i="20"/>
  <c r="S47" i="20"/>
  <c r="O47" i="20"/>
  <c r="N47" i="20"/>
  <c r="M47" i="20"/>
  <c r="J47" i="20"/>
  <c r="U46" i="20"/>
  <c r="T46" i="20"/>
  <c r="S46" i="20"/>
  <c r="O46" i="20"/>
  <c r="N46" i="20"/>
  <c r="M46" i="20"/>
  <c r="J46" i="20"/>
  <c r="U45" i="20"/>
  <c r="T45" i="20"/>
  <c r="S45" i="20"/>
  <c r="O45" i="20"/>
  <c r="N45" i="20"/>
  <c r="M45" i="20"/>
  <c r="J45" i="20"/>
  <c r="U44" i="20"/>
  <c r="T44" i="20"/>
  <c r="S44" i="20"/>
  <c r="O44" i="20"/>
  <c r="N44" i="20"/>
  <c r="M44" i="20"/>
  <c r="J44" i="20"/>
  <c r="U43" i="20"/>
  <c r="T43" i="20"/>
  <c r="S43" i="20"/>
  <c r="O43" i="20"/>
  <c r="N43" i="20"/>
  <c r="M43" i="20"/>
  <c r="J43" i="20"/>
  <c r="U42" i="20"/>
  <c r="T42" i="20"/>
  <c r="S42" i="20"/>
  <c r="O42" i="20"/>
  <c r="N42" i="20"/>
  <c r="M42" i="20"/>
  <c r="J42" i="20"/>
  <c r="U41" i="20"/>
  <c r="T41" i="20"/>
  <c r="S41" i="20"/>
  <c r="O41" i="20"/>
  <c r="N41" i="20"/>
  <c r="M41" i="20"/>
  <c r="J41" i="20"/>
  <c r="U40" i="20"/>
  <c r="T40" i="20"/>
  <c r="S40" i="20"/>
  <c r="O40" i="20"/>
  <c r="N40" i="20"/>
  <c r="M40" i="20"/>
  <c r="J40" i="20"/>
  <c r="U39" i="20"/>
  <c r="T39" i="20"/>
  <c r="S39" i="20"/>
  <c r="O39" i="20"/>
  <c r="N39" i="20"/>
  <c r="M39" i="20"/>
  <c r="J39" i="20"/>
  <c r="U38" i="20"/>
  <c r="T38" i="20"/>
  <c r="S38" i="20"/>
  <c r="O38" i="20"/>
  <c r="N38" i="20"/>
  <c r="M38" i="20"/>
  <c r="J38" i="20"/>
  <c r="U37" i="20"/>
  <c r="T37" i="20"/>
  <c r="S37" i="20"/>
  <c r="O37" i="20"/>
  <c r="N37" i="20"/>
  <c r="M37" i="20"/>
  <c r="J37" i="20"/>
  <c r="U36" i="20"/>
  <c r="T36" i="20"/>
  <c r="S36" i="20"/>
  <c r="O36" i="20"/>
  <c r="N36" i="20"/>
  <c r="M36" i="20"/>
  <c r="J36" i="20"/>
  <c r="U35" i="20"/>
  <c r="T35" i="20"/>
  <c r="S35" i="20"/>
  <c r="O35" i="20"/>
  <c r="N35" i="20"/>
  <c r="M35" i="20"/>
  <c r="J35" i="20"/>
  <c r="U34" i="20"/>
  <c r="T34" i="20"/>
  <c r="S34" i="20"/>
  <c r="O34" i="20"/>
  <c r="N34" i="20"/>
  <c r="M34" i="20"/>
  <c r="J34" i="20"/>
  <c r="U33" i="20"/>
  <c r="T33" i="20"/>
  <c r="S33" i="20"/>
  <c r="O33" i="20"/>
  <c r="N33" i="20"/>
  <c r="M33" i="20"/>
  <c r="J33" i="20"/>
  <c r="U32" i="20"/>
  <c r="T32" i="20"/>
  <c r="S32" i="20"/>
  <c r="O32" i="20"/>
  <c r="N32" i="20"/>
  <c r="M32" i="20"/>
  <c r="J32" i="20"/>
  <c r="U31" i="20"/>
  <c r="T31" i="20"/>
  <c r="S31" i="20"/>
  <c r="O31" i="20"/>
  <c r="N31" i="20"/>
  <c r="M31" i="20"/>
  <c r="J31" i="20"/>
  <c r="U30" i="20"/>
  <c r="T30" i="20"/>
  <c r="S30" i="20"/>
  <c r="O30" i="20"/>
  <c r="N30" i="20"/>
  <c r="M30" i="20"/>
  <c r="J30" i="20"/>
  <c r="U29" i="20"/>
  <c r="T29" i="20"/>
  <c r="S29" i="20"/>
  <c r="O29" i="20"/>
  <c r="N29" i="20"/>
  <c r="M29" i="20"/>
  <c r="J29" i="20"/>
  <c r="U28" i="20"/>
  <c r="T28" i="20"/>
  <c r="S28" i="20"/>
  <c r="O28" i="20"/>
  <c r="N28" i="20"/>
  <c r="M28" i="20"/>
  <c r="J28" i="20"/>
  <c r="U27" i="20"/>
  <c r="T27" i="20"/>
  <c r="S27" i="20"/>
  <c r="O27" i="20"/>
  <c r="N27" i="20"/>
  <c r="M27" i="20"/>
  <c r="J27" i="20"/>
  <c r="U26" i="20"/>
  <c r="T26" i="20"/>
  <c r="S26" i="20"/>
  <c r="O26" i="20"/>
  <c r="N26" i="20"/>
  <c r="M26" i="20"/>
  <c r="J26" i="20"/>
  <c r="U25" i="20"/>
  <c r="T25" i="20"/>
  <c r="S25" i="20"/>
  <c r="O25" i="20"/>
  <c r="N25" i="20"/>
  <c r="M25" i="20"/>
  <c r="J25" i="20"/>
  <c r="U24" i="20"/>
  <c r="T24" i="20"/>
  <c r="S24" i="20"/>
  <c r="O24" i="20"/>
  <c r="N24" i="20"/>
  <c r="M24" i="20"/>
  <c r="J24" i="20"/>
  <c r="U23" i="20"/>
  <c r="T23" i="20"/>
  <c r="S23" i="20"/>
  <c r="O23" i="20"/>
  <c r="N23" i="20"/>
  <c r="M23" i="20"/>
  <c r="J23" i="20"/>
  <c r="U22" i="20"/>
  <c r="T22" i="20"/>
  <c r="S22" i="20"/>
  <c r="O22" i="20"/>
  <c r="N22" i="20"/>
  <c r="M22" i="20"/>
  <c r="J22" i="20"/>
  <c r="U21" i="20"/>
  <c r="T21" i="20"/>
  <c r="S21" i="20"/>
  <c r="O21" i="20"/>
  <c r="N21" i="20"/>
  <c r="M21" i="20"/>
  <c r="J21" i="20"/>
  <c r="U20" i="20"/>
  <c r="T20" i="20"/>
  <c r="S20" i="20"/>
  <c r="O20" i="20"/>
  <c r="N20" i="20"/>
  <c r="M20" i="20"/>
  <c r="J20" i="20"/>
  <c r="U19" i="20"/>
  <c r="T19" i="20"/>
  <c r="S19" i="20"/>
  <c r="O19" i="20"/>
  <c r="N19" i="20"/>
  <c r="M19" i="20"/>
  <c r="J19" i="20"/>
  <c r="U18" i="20"/>
  <c r="T18" i="20"/>
  <c r="S18" i="20"/>
  <c r="O18" i="20"/>
  <c r="N18" i="20"/>
  <c r="M18" i="20"/>
  <c r="J18" i="20"/>
  <c r="U17" i="20"/>
  <c r="T17" i="20"/>
  <c r="S17" i="20"/>
  <c r="O17" i="20"/>
  <c r="N17" i="20"/>
  <c r="M17" i="20"/>
  <c r="J17" i="20"/>
  <c r="U16" i="20"/>
  <c r="T16" i="20"/>
  <c r="S16" i="20"/>
  <c r="O16" i="20"/>
  <c r="N16" i="20"/>
  <c r="M16" i="20"/>
  <c r="J16" i="20"/>
  <c r="U15" i="20"/>
  <c r="T15" i="20"/>
  <c r="S15" i="20"/>
  <c r="O15" i="20"/>
  <c r="N15" i="20"/>
  <c r="M15" i="20"/>
  <c r="J15" i="20"/>
  <c r="U14" i="20"/>
  <c r="T14" i="20"/>
  <c r="S14" i="20"/>
  <c r="O14" i="20"/>
  <c r="N14" i="20"/>
  <c r="M14" i="20"/>
  <c r="J14" i="20"/>
  <c r="U13" i="20"/>
  <c r="T13" i="20"/>
  <c r="S13" i="20"/>
  <c r="O13" i="20"/>
  <c r="N13" i="20"/>
  <c r="M13" i="20"/>
  <c r="J13" i="20"/>
  <c r="U12" i="20"/>
  <c r="T12" i="20"/>
  <c r="S12" i="20"/>
  <c r="O12" i="20"/>
  <c r="N12" i="20"/>
  <c r="M12" i="20"/>
  <c r="J12" i="20"/>
  <c r="U11" i="20"/>
  <c r="T11" i="20"/>
  <c r="S11" i="20"/>
  <c r="O11" i="20"/>
  <c r="N11" i="20"/>
  <c r="M11" i="20"/>
  <c r="J11" i="20"/>
  <c r="U10" i="20"/>
  <c r="T10" i="20"/>
  <c r="S10" i="20"/>
  <c r="O10" i="20"/>
  <c r="N10" i="20"/>
  <c r="M10" i="20"/>
  <c r="U9" i="20"/>
  <c r="T9" i="20"/>
  <c r="S9" i="20"/>
  <c r="O9" i="20"/>
  <c r="N9" i="20"/>
  <c r="M9" i="20"/>
  <c r="U8" i="20"/>
  <c r="T8" i="20"/>
  <c r="S8" i="20"/>
  <c r="O8" i="20"/>
  <c r="N8" i="20"/>
  <c r="M8" i="20"/>
  <c r="J8" i="20"/>
  <c r="U7" i="20"/>
  <c r="T7" i="20"/>
  <c r="S7" i="20"/>
  <c r="O7" i="20"/>
  <c r="N7" i="20"/>
  <c r="M7" i="20"/>
  <c r="J7" i="20"/>
  <c r="O6" i="20"/>
  <c r="N6" i="20"/>
  <c r="M6" i="20"/>
  <c r="J6" i="20"/>
  <c r="J6" i="15"/>
  <c r="U6" i="20"/>
  <c r="T6" i="20"/>
  <c r="S6" i="20"/>
  <c r="J282" i="15"/>
  <c r="B275" i="15"/>
  <c r="B276" i="15"/>
  <c r="B277" i="15"/>
  <c r="B278" i="15"/>
  <c r="B279" i="15"/>
  <c r="B280" i="15"/>
  <c r="B281" i="15"/>
  <c r="B282" i="15"/>
  <c r="D282" i="15"/>
  <c r="B283" i="15"/>
  <c r="D283" i="15"/>
  <c r="B284" i="15"/>
  <c r="D284" i="15"/>
  <c r="B285" i="15"/>
  <c r="D285" i="15"/>
  <c r="B286" i="15"/>
  <c r="D286" i="15"/>
  <c r="B287" i="15"/>
  <c r="D287" i="15"/>
  <c r="B288" i="15"/>
  <c r="D288" i="15"/>
  <c r="B289" i="15"/>
  <c r="D289" i="15"/>
  <c r="B290" i="15"/>
  <c r="D290" i="15"/>
  <c r="B291" i="15"/>
  <c r="D291" i="15"/>
  <c r="B292" i="15"/>
  <c r="D292" i="15"/>
  <c r="B293" i="15"/>
  <c r="D293" i="15"/>
  <c r="B294" i="15"/>
  <c r="D294" i="15"/>
  <c r="B295" i="15"/>
  <c r="D295" i="15"/>
  <c r="B296" i="15"/>
  <c r="D296" i="15"/>
  <c r="B297" i="15"/>
  <c r="D297" i="15"/>
  <c r="B298" i="15"/>
  <c r="D298" i="15"/>
  <c r="B299" i="15"/>
  <c r="D299" i="15"/>
  <c r="B300" i="15"/>
  <c r="D300" i="15"/>
  <c r="B301" i="15"/>
  <c r="D301" i="15"/>
  <c r="B302" i="15"/>
  <c r="D302" i="15"/>
  <c r="B303" i="15"/>
  <c r="D303" i="15"/>
  <c r="B304" i="15"/>
  <c r="D304" i="15"/>
  <c r="B305" i="15"/>
  <c r="D305" i="15"/>
  <c r="B306" i="15"/>
  <c r="D306" i="15"/>
  <c r="B307" i="15"/>
  <c r="D307" i="15"/>
  <c r="B308" i="15"/>
  <c r="D308" i="15"/>
  <c r="B309" i="15"/>
  <c r="D309" i="15"/>
  <c r="B310" i="15"/>
  <c r="D310" i="15"/>
  <c r="B311" i="15"/>
  <c r="D311" i="15"/>
  <c r="B312" i="15"/>
  <c r="D312" i="15"/>
  <c r="B313" i="15"/>
  <c r="D313" i="15"/>
  <c r="B314" i="15"/>
  <c r="D314" i="15"/>
  <c r="B315" i="15"/>
  <c r="D315" i="15"/>
  <c r="B316" i="15"/>
  <c r="D316" i="15"/>
  <c r="B317" i="15"/>
  <c r="D317" i="15"/>
  <c r="B318" i="15"/>
  <c r="D318" i="15"/>
  <c r="B319" i="15"/>
  <c r="D319" i="15"/>
  <c r="B320" i="15"/>
  <c r="D320" i="15"/>
  <c r="B321" i="15"/>
  <c r="D321" i="15"/>
  <c r="B322" i="15"/>
  <c r="D322" i="15"/>
  <c r="B323" i="15"/>
  <c r="D323" i="15"/>
  <c r="B324" i="15"/>
  <c r="D324" i="15"/>
  <c r="B325" i="15"/>
  <c r="D325" i="15"/>
  <c r="B326" i="15"/>
  <c r="D326" i="15"/>
  <c r="B327" i="15"/>
  <c r="D327" i="15"/>
  <c r="B328" i="15"/>
  <c r="D328" i="15"/>
  <c r="B329" i="15"/>
  <c r="D329" i="15"/>
  <c r="B330" i="15"/>
  <c r="D330" i="15"/>
  <c r="B331" i="15"/>
  <c r="D331" i="15"/>
  <c r="B332" i="15"/>
  <c r="D332" i="15"/>
  <c r="B333" i="15"/>
  <c r="D333" i="15"/>
  <c r="B334" i="15"/>
  <c r="D334" i="15"/>
  <c r="B335" i="15"/>
  <c r="D335" i="15"/>
  <c r="D275" i="15"/>
  <c r="D276" i="15"/>
  <c r="D277" i="15"/>
  <c r="D278" i="15"/>
  <c r="D279" i="15"/>
  <c r="D280" i="15"/>
  <c r="D281" i="15"/>
  <c r="D274" i="15"/>
  <c r="I282"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275" i="15"/>
  <c r="C276" i="15"/>
  <c r="C277" i="15"/>
  <c r="C278" i="15"/>
  <c r="C279" i="15"/>
  <c r="C280" i="15"/>
  <c r="C281" i="15"/>
  <c r="C274" i="15"/>
  <c r="H282" i="15"/>
  <c r="I19" i="13"/>
  <c r="M19" i="13"/>
  <c r="G19" i="13"/>
  <c r="L19" i="13"/>
  <c r="K19" i="13"/>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C247" i="15"/>
  <c r="D247" i="15"/>
  <c r="B248" i="15"/>
  <c r="C248" i="15"/>
  <c r="B249" i="15"/>
  <c r="C249" i="15"/>
  <c r="B250" i="15"/>
  <c r="C250" i="15"/>
  <c r="B251" i="15"/>
  <c r="C251" i="15"/>
  <c r="B252" i="15"/>
  <c r="C252" i="15"/>
  <c r="B253" i="15"/>
  <c r="C253" i="15"/>
  <c r="B254" i="15"/>
  <c r="C254" i="15"/>
  <c r="B255" i="15"/>
  <c r="C255" i="15"/>
  <c r="B256" i="15"/>
  <c r="C256" i="15"/>
  <c r="B257" i="15"/>
  <c r="C257" i="15"/>
  <c r="B258" i="15"/>
  <c r="C258" i="15"/>
  <c r="B259" i="15"/>
  <c r="C259" i="15"/>
  <c r="B260" i="15"/>
  <c r="C260" i="15"/>
  <c r="B261" i="15"/>
  <c r="C261" i="15"/>
  <c r="B262" i="15"/>
  <c r="C262" i="15"/>
  <c r="B263" i="15"/>
  <c r="C263" i="15"/>
  <c r="B264" i="15"/>
  <c r="C264" i="15"/>
  <c r="B265" i="15"/>
  <c r="C265" i="15"/>
  <c r="B266" i="15"/>
  <c r="C266" i="15"/>
  <c r="B267" i="15"/>
  <c r="C267" i="15"/>
  <c r="B268" i="15"/>
  <c r="C268" i="15"/>
  <c r="B269" i="15"/>
  <c r="C269" i="15"/>
  <c r="B270" i="15"/>
  <c r="C270" i="15"/>
  <c r="B271" i="15"/>
  <c r="C271" i="15"/>
  <c r="B272" i="15"/>
  <c r="C272" i="15"/>
  <c r="B273" i="15"/>
  <c r="C273" i="15"/>
  <c r="B274"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H247" i="15"/>
  <c r="D248" i="15"/>
  <c r="D249" i="15"/>
  <c r="D250" i="15"/>
  <c r="D251" i="15"/>
  <c r="D252" i="15"/>
  <c r="D253" i="15"/>
  <c r="D254" i="15"/>
  <c r="D255" i="15"/>
  <c r="D256" i="15"/>
  <c r="D257" i="15"/>
  <c r="D258" i="15"/>
  <c r="D259" i="15"/>
  <c r="D260" i="15"/>
  <c r="D261" i="15"/>
  <c r="D262" i="15"/>
  <c r="D263" i="15"/>
  <c r="D264" i="15"/>
  <c r="D265" i="15"/>
  <c r="D266" i="15"/>
  <c r="D267" i="15"/>
  <c r="D268" i="15"/>
  <c r="D269" i="15"/>
  <c r="D270" i="15"/>
  <c r="D271" i="15"/>
  <c r="D272" i="15"/>
  <c r="D273"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I247" i="15"/>
  <c r="J247" i="15"/>
  <c r="I16" i="13"/>
  <c r="M16" i="13"/>
  <c r="G16" i="13"/>
  <c r="L16" i="13"/>
  <c r="K16" i="13"/>
  <c r="I17" i="13"/>
  <c r="M17" i="13"/>
  <c r="G17" i="13"/>
  <c r="L17" i="13"/>
  <c r="K17" i="13"/>
  <c r="F24" i="13"/>
  <c r="E24" i="13"/>
  <c r="I18" i="13"/>
  <c r="M18" i="13"/>
  <c r="G18" i="13"/>
  <c r="L18" i="13"/>
  <c r="K18" i="13"/>
  <c r="I15" i="13"/>
  <c r="M15" i="13"/>
  <c r="G15" i="13"/>
  <c r="L15" i="13"/>
  <c r="K15" i="13"/>
  <c r="K13" i="13"/>
  <c r="L13" i="13"/>
  <c r="I13" i="13"/>
  <c r="M13" i="13"/>
  <c r="G13" i="13"/>
  <c r="I14" i="13"/>
  <c r="M14" i="13"/>
  <c r="G14" i="13"/>
  <c r="L14" i="13"/>
  <c r="K14" i="13"/>
  <c r="I12" i="13"/>
  <c r="M12" i="13"/>
  <c r="G12" i="13"/>
  <c r="L12" i="13"/>
  <c r="K12" i="13"/>
  <c r="I11" i="13"/>
  <c r="M11" i="13"/>
  <c r="G11" i="13"/>
  <c r="L11" i="13"/>
  <c r="K11" i="13"/>
  <c r="I10" i="13"/>
  <c r="M10" i="13"/>
  <c r="G10" i="13"/>
  <c r="L10" i="13"/>
  <c r="K10" i="13"/>
  <c r="B11" i="18"/>
  <c r="I6" i="18"/>
  <c r="E23" i="16"/>
  <c r="E22" i="16"/>
  <c r="L9" i="16"/>
  <c r="I9" i="13"/>
  <c r="M9" i="13"/>
  <c r="L9" i="13"/>
  <c r="K9" i="13"/>
  <c r="G9" i="13"/>
  <c r="S335" i="15"/>
  <c r="R335" i="15"/>
  <c r="Q335" i="15"/>
  <c r="S334" i="15"/>
  <c r="R334" i="15"/>
  <c r="Q334" i="15"/>
  <c r="S333" i="15"/>
  <c r="R333" i="15"/>
  <c r="Q333" i="15"/>
  <c r="S332" i="15"/>
  <c r="R332" i="15"/>
  <c r="Q332" i="15"/>
  <c r="S331" i="15"/>
  <c r="R331" i="15"/>
  <c r="Q331" i="15"/>
  <c r="S330" i="15"/>
  <c r="R330" i="15"/>
  <c r="Q330" i="15"/>
  <c r="S329" i="15"/>
  <c r="R329" i="15"/>
  <c r="Q329" i="15"/>
  <c r="S328" i="15"/>
  <c r="R328" i="15"/>
  <c r="Q328" i="15"/>
  <c r="S327" i="15"/>
  <c r="R327" i="15"/>
  <c r="Q327" i="15"/>
  <c r="S326" i="15"/>
  <c r="R326" i="15"/>
  <c r="Q326" i="15"/>
  <c r="S325" i="15"/>
  <c r="R325" i="15"/>
  <c r="Q325" i="15"/>
  <c r="S324" i="15"/>
  <c r="R324" i="15"/>
  <c r="Q324" i="15"/>
  <c r="S323" i="15"/>
  <c r="R323" i="15"/>
  <c r="Q323" i="15"/>
  <c r="S322" i="15"/>
  <c r="R322" i="15"/>
  <c r="Q322" i="15"/>
  <c r="S321" i="15"/>
  <c r="R321" i="15"/>
  <c r="Q321" i="15"/>
  <c r="S320" i="15"/>
  <c r="R320" i="15"/>
  <c r="Q320" i="15"/>
  <c r="S319" i="15"/>
  <c r="R319" i="15"/>
  <c r="Q319" i="15"/>
  <c r="S318" i="15"/>
  <c r="R318" i="15"/>
  <c r="Q318" i="15"/>
  <c r="S317" i="15"/>
  <c r="R317" i="15"/>
  <c r="Q317" i="15"/>
  <c r="S316" i="15"/>
  <c r="R316" i="15"/>
  <c r="Q316" i="15"/>
  <c r="S315" i="15"/>
  <c r="R315" i="15"/>
  <c r="Q315" i="15"/>
  <c r="S314" i="15"/>
  <c r="R314" i="15"/>
  <c r="Q314" i="15"/>
  <c r="S313" i="15"/>
  <c r="R313" i="15"/>
  <c r="Q313" i="15"/>
  <c r="S312" i="15"/>
  <c r="R312" i="15"/>
  <c r="Q312" i="15"/>
  <c r="S311" i="15"/>
  <c r="R311" i="15"/>
  <c r="Q311" i="15"/>
  <c r="S310" i="15"/>
  <c r="R310" i="15"/>
  <c r="Q310" i="15"/>
  <c r="S309" i="15"/>
  <c r="R309" i="15"/>
  <c r="Q309" i="15"/>
  <c r="S308" i="15"/>
  <c r="R308" i="15"/>
  <c r="Q308" i="15"/>
  <c r="S307" i="15"/>
  <c r="R307" i="15"/>
  <c r="Q307" i="15"/>
  <c r="S306" i="15"/>
  <c r="R306" i="15"/>
  <c r="Q306" i="15"/>
  <c r="S305" i="15"/>
  <c r="R305" i="15"/>
  <c r="Q305" i="15"/>
  <c r="S304" i="15"/>
  <c r="R304" i="15"/>
  <c r="Q304" i="15"/>
  <c r="S303" i="15"/>
  <c r="R303" i="15"/>
  <c r="Q303" i="15"/>
  <c r="S302" i="15"/>
  <c r="R302" i="15"/>
  <c r="Q302" i="15"/>
  <c r="S301" i="15"/>
  <c r="R301" i="15"/>
  <c r="Q301" i="15"/>
  <c r="S300" i="15"/>
  <c r="R300" i="15"/>
  <c r="Q300" i="15"/>
  <c r="S299" i="15"/>
  <c r="R299" i="15"/>
  <c r="Q299" i="15"/>
  <c r="S298" i="15"/>
  <c r="R298" i="15"/>
  <c r="Q298" i="15"/>
  <c r="S297" i="15"/>
  <c r="R297" i="15"/>
  <c r="Q297" i="15"/>
  <c r="S296" i="15"/>
  <c r="R296" i="15"/>
  <c r="Q296" i="15"/>
  <c r="S295" i="15"/>
  <c r="R295" i="15"/>
  <c r="Q295" i="15"/>
  <c r="S294" i="15"/>
  <c r="R294" i="15"/>
  <c r="Q294" i="15"/>
  <c r="S293" i="15"/>
  <c r="R293" i="15"/>
  <c r="Q293" i="15"/>
  <c r="S292" i="15"/>
  <c r="R292" i="15"/>
  <c r="Q292" i="15"/>
  <c r="S291" i="15"/>
  <c r="R291" i="15"/>
  <c r="Q291" i="15"/>
  <c r="S290" i="15"/>
  <c r="R290" i="15"/>
  <c r="Q290" i="15"/>
  <c r="S289" i="15"/>
  <c r="R289" i="15"/>
  <c r="Q289" i="15"/>
  <c r="S288" i="15"/>
  <c r="R288" i="15"/>
  <c r="Q288" i="15"/>
  <c r="S287" i="15"/>
  <c r="R287" i="15"/>
  <c r="Q287" i="15"/>
  <c r="S286" i="15"/>
  <c r="R286" i="15"/>
  <c r="Q286" i="15"/>
  <c r="S285" i="15"/>
  <c r="R285" i="15"/>
  <c r="Q285" i="15"/>
  <c r="S284" i="15"/>
  <c r="R284" i="15"/>
  <c r="Q284" i="15"/>
  <c r="S283" i="15"/>
  <c r="R283" i="15"/>
  <c r="Q283" i="15"/>
  <c r="S282" i="15"/>
  <c r="R282" i="15"/>
  <c r="Q282" i="15"/>
  <c r="S281" i="15"/>
  <c r="R281" i="15"/>
  <c r="Q281" i="15"/>
  <c r="S280" i="15"/>
  <c r="R280" i="15"/>
  <c r="Q280" i="15"/>
  <c r="S279" i="15"/>
  <c r="R279" i="15"/>
  <c r="Q279" i="15"/>
  <c r="S278" i="15"/>
  <c r="R278" i="15"/>
  <c r="Q278" i="15"/>
  <c r="S277" i="15"/>
  <c r="R277" i="15"/>
  <c r="Q277" i="15"/>
  <c r="S276" i="15"/>
  <c r="R276" i="15"/>
  <c r="Q276" i="15"/>
  <c r="S275" i="15"/>
  <c r="R275" i="15"/>
  <c r="Q275" i="15"/>
  <c r="S274" i="15"/>
  <c r="R274" i="15"/>
  <c r="Q274" i="15"/>
  <c r="S273" i="15"/>
  <c r="R273" i="15"/>
  <c r="Q273" i="15"/>
  <c r="S272" i="15"/>
  <c r="R272" i="15"/>
  <c r="Q272" i="15"/>
  <c r="S271" i="15"/>
  <c r="R271" i="15"/>
  <c r="Q271" i="15"/>
  <c r="S270" i="15"/>
  <c r="R270" i="15"/>
  <c r="Q270" i="15"/>
  <c r="S269" i="15"/>
  <c r="R269" i="15"/>
  <c r="Q269" i="15"/>
  <c r="S268" i="15"/>
  <c r="R268" i="15"/>
  <c r="Q268" i="15"/>
  <c r="S267" i="15"/>
  <c r="R267" i="15"/>
  <c r="Q267" i="15"/>
  <c r="S266" i="15"/>
  <c r="R266" i="15"/>
  <c r="Q266" i="15"/>
  <c r="S265" i="15"/>
  <c r="R265" i="15"/>
  <c r="Q265" i="15"/>
  <c r="S264" i="15"/>
  <c r="R264" i="15"/>
  <c r="Q264" i="15"/>
  <c r="S263" i="15"/>
  <c r="R263" i="15"/>
  <c r="Q263" i="15"/>
  <c r="S262" i="15"/>
  <c r="R262" i="15"/>
  <c r="Q262" i="15"/>
  <c r="S261" i="15"/>
  <c r="R261" i="15"/>
  <c r="Q261" i="15"/>
  <c r="S260" i="15"/>
  <c r="R260" i="15"/>
  <c r="Q260" i="15"/>
  <c r="S259" i="15"/>
  <c r="R259" i="15"/>
  <c r="Q259" i="15"/>
  <c r="S258" i="15"/>
  <c r="R258" i="15"/>
  <c r="Q258" i="15"/>
  <c r="S257" i="15"/>
  <c r="R257" i="15"/>
  <c r="Q257" i="15"/>
  <c r="S256" i="15"/>
  <c r="R256" i="15"/>
  <c r="Q256" i="15"/>
  <c r="S255" i="15"/>
  <c r="R255" i="15"/>
  <c r="Q255" i="15"/>
  <c r="S254" i="15"/>
  <c r="R254" i="15"/>
  <c r="Q254" i="15"/>
  <c r="S253" i="15"/>
  <c r="R253" i="15"/>
  <c r="Q253" i="15"/>
  <c r="S252" i="15"/>
  <c r="R252" i="15"/>
  <c r="Q252" i="15"/>
  <c r="S251" i="15"/>
  <c r="R251" i="15"/>
  <c r="Q251" i="15"/>
  <c r="S250" i="15"/>
  <c r="R250" i="15"/>
  <c r="Q250" i="15"/>
  <c r="S249" i="15"/>
  <c r="R249" i="15"/>
  <c r="Q249" i="15"/>
  <c r="S248" i="15"/>
  <c r="R248" i="15"/>
  <c r="Q248" i="15"/>
  <c r="S247" i="15"/>
  <c r="R247" i="15"/>
  <c r="Q247" i="15"/>
  <c r="S246" i="15"/>
  <c r="R246" i="15"/>
  <c r="Q246" i="15"/>
  <c r="S245" i="15"/>
  <c r="R245" i="15"/>
  <c r="Q245" i="15"/>
  <c r="S244" i="15"/>
  <c r="R244" i="15"/>
  <c r="Q244" i="15"/>
  <c r="S243" i="15"/>
  <c r="R243" i="15"/>
  <c r="Q243" i="15"/>
  <c r="S242" i="15"/>
  <c r="R242" i="15"/>
  <c r="Q242" i="15"/>
  <c r="S241" i="15"/>
  <c r="R241" i="15"/>
  <c r="Q241" i="15"/>
  <c r="S240" i="15"/>
  <c r="R240" i="15"/>
  <c r="Q240" i="15"/>
  <c r="S239" i="15"/>
  <c r="R239" i="15"/>
  <c r="Q239" i="15"/>
  <c r="S238" i="15"/>
  <c r="R238" i="15"/>
  <c r="Q238" i="15"/>
  <c r="S237" i="15"/>
  <c r="R237" i="15"/>
  <c r="Q237" i="15"/>
  <c r="S236" i="15"/>
  <c r="R236" i="15"/>
  <c r="Q236" i="15"/>
  <c r="S235" i="15"/>
  <c r="R235" i="15"/>
  <c r="Q235" i="15"/>
  <c r="S234" i="15"/>
  <c r="R234" i="15"/>
  <c r="Q234" i="15"/>
  <c r="S233" i="15"/>
  <c r="R233" i="15"/>
  <c r="Q233" i="15"/>
  <c r="S232" i="15"/>
  <c r="R232" i="15"/>
  <c r="Q232" i="15"/>
  <c r="S231" i="15"/>
  <c r="R231" i="15"/>
  <c r="Q231" i="15"/>
  <c r="S230" i="15"/>
  <c r="R230" i="15"/>
  <c r="Q230" i="15"/>
  <c r="S229" i="15"/>
  <c r="R229" i="15"/>
  <c r="Q229" i="15"/>
  <c r="S228" i="15"/>
  <c r="R228" i="15"/>
  <c r="Q228" i="15"/>
  <c r="S227" i="15"/>
  <c r="R227" i="15"/>
  <c r="Q227" i="15"/>
  <c r="S226" i="15"/>
  <c r="R226" i="15"/>
  <c r="Q226" i="15"/>
  <c r="S225" i="15"/>
  <c r="R225" i="15"/>
  <c r="Q225" i="15"/>
  <c r="S224" i="15"/>
  <c r="R224" i="15"/>
  <c r="Q224" i="15"/>
  <c r="S223" i="15"/>
  <c r="R223" i="15"/>
  <c r="Q223" i="15"/>
  <c r="S222" i="15"/>
  <c r="R222" i="15"/>
  <c r="Q222" i="15"/>
  <c r="S221" i="15"/>
  <c r="R221" i="15"/>
  <c r="Q221" i="15"/>
  <c r="S220" i="15"/>
  <c r="R220" i="15"/>
  <c r="Q220" i="15"/>
  <c r="S219" i="15"/>
  <c r="R219" i="15"/>
  <c r="Q219" i="15"/>
  <c r="S218" i="15"/>
  <c r="R218" i="15"/>
  <c r="Q218" i="15"/>
  <c r="S217" i="15"/>
  <c r="R217" i="15"/>
  <c r="Q217" i="15"/>
  <c r="S216" i="15"/>
  <c r="R216" i="15"/>
  <c r="Q216" i="15"/>
  <c r="S215" i="15"/>
  <c r="R215" i="15"/>
  <c r="Q215" i="15"/>
  <c r="S214" i="15"/>
  <c r="R214" i="15"/>
  <c r="Q214" i="15"/>
  <c r="S213" i="15"/>
  <c r="R213" i="15"/>
  <c r="Q213" i="15"/>
  <c r="S212" i="15"/>
  <c r="R212" i="15"/>
  <c r="Q212" i="15"/>
  <c r="S211" i="15"/>
  <c r="R211" i="15"/>
  <c r="Q211" i="15"/>
  <c r="S210" i="15"/>
  <c r="R210" i="15"/>
  <c r="Q210" i="15"/>
  <c r="S209" i="15"/>
  <c r="R209" i="15"/>
  <c r="Q209" i="15"/>
  <c r="S208" i="15"/>
  <c r="R208" i="15"/>
  <c r="Q208" i="15"/>
  <c r="S207" i="15"/>
  <c r="R207" i="15"/>
  <c r="Q207" i="15"/>
  <c r="S206" i="15"/>
  <c r="R206" i="15"/>
  <c r="Q206" i="15"/>
  <c r="S205" i="15"/>
  <c r="R205" i="15"/>
  <c r="Q205" i="15"/>
  <c r="S204" i="15"/>
  <c r="R204" i="15"/>
  <c r="Q204" i="15"/>
  <c r="S203" i="15"/>
  <c r="R203" i="15"/>
  <c r="Q203" i="15"/>
  <c r="S202" i="15"/>
  <c r="R202" i="15"/>
  <c r="Q202" i="15"/>
  <c r="S201" i="15"/>
  <c r="R201" i="15"/>
  <c r="Q201" i="15"/>
  <c r="S200" i="15"/>
  <c r="R200" i="15"/>
  <c r="Q200" i="15"/>
  <c r="S199" i="15"/>
  <c r="R199" i="15"/>
  <c r="Q199" i="15"/>
  <c r="S198" i="15"/>
  <c r="R198" i="15"/>
  <c r="Q198" i="15"/>
  <c r="S197" i="15"/>
  <c r="R197" i="15"/>
  <c r="Q197" i="15"/>
  <c r="S196" i="15"/>
  <c r="R196" i="15"/>
  <c r="Q196" i="15"/>
  <c r="S195" i="15"/>
  <c r="R195" i="15"/>
  <c r="Q195" i="15"/>
  <c r="S194" i="15"/>
  <c r="R194" i="15"/>
  <c r="Q194" i="15"/>
  <c r="S193" i="15"/>
  <c r="R193" i="15"/>
  <c r="Q193" i="15"/>
  <c r="S192" i="15"/>
  <c r="R192" i="15"/>
  <c r="Q192" i="15"/>
  <c r="S191" i="15"/>
  <c r="R191" i="15"/>
  <c r="Q191" i="15"/>
  <c r="S190" i="15"/>
  <c r="R190" i="15"/>
  <c r="Q190" i="15"/>
  <c r="S189" i="15"/>
  <c r="R189" i="15"/>
  <c r="Q189" i="15"/>
  <c r="S188" i="15"/>
  <c r="R188" i="15"/>
  <c r="Q188" i="15"/>
  <c r="S187" i="15"/>
  <c r="R187" i="15"/>
  <c r="Q187" i="15"/>
  <c r="S186" i="15"/>
  <c r="R186" i="15"/>
  <c r="Q186" i="15"/>
  <c r="S185" i="15"/>
  <c r="R185" i="15"/>
  <c r="Q185" i="15"/>
  <c r="S184" i="15"/>
  <c r="R184" i="15"/>
  <c r="Q184" i="15"/>
  <c r="S183" i="15"/>
  <c r="R183" i="15"/>
  <c r="Q183" i="15"/>
  <c r="S182" i="15"/>
  <c r="R182" i="15"/>
  <c r="Q182" i="15"/>
  <c r="S181" i="15"/>
  <c r="R181" i="15"/>
  <c r="Q181" i="15"/>
  <c r="S180" i="15"/>
  <c r="R180" i="15"/>
  <c r="Q180" i="15"/>
  <c r="S179" i="15"/>
  <c r="R179" i="15"/>
  <c r="Q179" i="15"/>
  <c r="S178" i="15"/>
  <c r="R178" i="15"/>
  <c r="Q178" i="15"/>
  <c r="S177" i="15"/>
  <c r="R177" i="15"/>
  <c r="Q177" i="15"/>
  <c r="S176" i="15"/>
  <c r="R176" i="15"/>
  <c r="Q176" i="15"/>
  <c r="S175" i="15"/>
  <c r="R175" i="15"/>
  <c r="Q175" i="15"/>
  <c r="S174" i="15"/>
  <c r="R174" i="15"/>
  <c r="Q174" i="15"/>
  <c r="S173" i="15"/>
  <c r="R173" i="15"/>
  <c r="Q173" i="15"/>
  <c r="S172" i="15"/>
  <c r="R172" i="15"/>
  <c r="Q172" i="15"/>
  <c r="S171" i="15"/>
  <c r="R171" i="15"/>
  <c r="Q171" i="15"/>
  <c r="S170" i="15"/>
  <c r="R170" i="15"/>
  <c r="Q170" i="15"/>
  <c r="S169" i="15"/>
  <c r="R169" i="15"/>
  <c r="Q169" i="15"/>
  <c r="S168" i="15"/>
  <c r="R168" i="15"/>
  <c r="Q168" i="15"/>
  <c r="S167" i="15"/>
  <c r="R167" i="15"/>
  <c r="Q167" i="15"/>
  <c r="S166" i="15"/>
  <c r="R166" i="15"/>
  <c r="Q166" i="15"/>
  <c r="S165" i="15"/>
  <c r="R165" i="15"/>
  <c r="Q165" i="15"/>
  <c r="S164" i="15"/>
  <c r="R164" i="15"/>
  <c r="Q164" i="15"/>
  <c r="S163" i="15"/>
  <c r="R163" i="15"/>
  <c r="Q163" i="15"/>
  <c r="S162" i="15"/>
  <c r="R162" i="15"/>
  <c r="Q162" i="15"/>
  <c r="S161" i="15"/>
  <c r="R161" i="15"/>
  <c r="Q161" i="15"/>
  <c r="S160" i="15"/>
  <c r="R160" i="15"/>
  <c r="Q160" i="15"/>
  <c r="S159" i="15"/>
  <c r="R159" i="15"/>
  <c r="Q159" i="15"/>
  <c r="S158" i="15"/>
  <c r="R158" i="15"/>
  <c r="Q158" i="15"/>
  <c r="S157" i="15"/>
  <c r="R157" i="15"/>
  <c r="Q157" i="15"/>
  <c r="S156" i="15"/>
  <c r="R156" i="15"/>
  <c r="Q156" i="15"/>
  <c r="S155" i="15"/>
  <c r="R155" i="15"/>
  <c r="Q155" i="15"/>
  <c r="S154" i="15"/>
  <c r="R154" i="15"/>
  <c r="Q154" i="15"/>
  <c r="S153" i="15"/>
  <c r="R153" i="15"/>
  <c r="Q153" i="15"/>
  <c r="S152" i="15"/>
  <c r="R152" i="15"/>
  <c r="Q152" i="15"/>
  <c r="S151" i="15"/>
  <c r="R151" i="15"/>
  <c r="Q151" i="15"/>
  <c r="S150" i="15"/>
  <c r="R150" i="15"/>
  <c r="Q150" i="15"/>
  <c r="S149" i="15"/>
  <c r="R149" i="15"/>
  <c r="Q149" i="15"/>
  <c r="S148" i="15"/>
  <c r="R148" i="15"/>
  <c r="Q148" i="15"/>
  <c r="S147" i="15"/>
  <c r="R147" i="15"/>
  <c r="Q147" i="15"/>
  <c r="S146" i="15"/>
  <c r="R146" i="15"/>
  <c r="Q146" i="15"/>
  <c r="S145" i="15"/>
  <c r="R145" i="15"/>
  <c r="Q145" i="15"/>
  <c r="S144" i="15"/>
  <c r="R144" i="15"/>
  <c r="Q144" i="15"/>
  <c r="S143" i="15"/>
  <c r="R143" i="15"/>
  <c r="Q143" i="15"/>
  <c r="S142" i="15"/>
  <c r="R142" i="15"/>
  <c r="Q142" i="15"/>
  <c r="S141" i="15"/>
  <c r="R141" i="15"/>
  <c r="Q141" i="15"/>
  <c r="S140" i="15"/>
  <c r="R140" i="15"/>
  <c r="Q140" i="15"/>
  <c r="S139" i="15"/>
  <c r="R139" i="15"/>
  <c r="Q139" i="15"/>
  <c r="S138" i="15"/>
  <c r="R138" i="15"/>
  <c r="Q138" i="15"/>
  <c r="S137" i="15"/>
  <c r="R137" i="15"/>
  <c r="Q137" i="15"/>
  <c r="S136" i="15"/>
  <c r="R136" i="15"/>
  <c r="Q136" i="15"/>
  <c r="S135" i="15"/>
  <c r="R135" i="15"/>
  <c r="Q135" i="15"/>
  <c r="S134" i="15"/>
  <c r="R134" i="15"/>
  <c r="Q134" i="15"/>
  <c r="S133" i="15"/>
  <c r="R133" i="15"/>
  <c r="Q133" i="15"/>
  <c r="S132" i="15"/>
  <c r="R132" i="15"/>
  <c r="Q132" i="15"/>
  <c r="S131" i="15"/>
  <c r="R131" i="15"/>
  <c r="Q131" i="15"/>
  <c r="S130" i="15"/>
  <c r="R130" i="15"/>
  <c r="Q130" i="15"/>
  <c r="S129" i="15"/>
  <c r="R129" i="15"/>
  <c r="Q129" i="15"/>
  <c r="S128" i="15"/>
  <c r="R128" i="15"/>
  <c r="Q128" i="15"/>
  <c r="S127" i="15"/>
  <c r="R127" i="15"/>
  <c r="Q127" i="15"/>
  <c r="S126" i="15"/>
  <c r="R126" i="15"/>
  <c r="Q126" i="15"/>
  <c r="S125" i="15"/>
  <c r="R125" i="15"/>
  <c r="Q125" i="15"/>
  <c r="S124" i="15"/>
  <c r="R124" i="15"/>
  <c r="Q124" i="15"/>
  <c r="S123" i="15"/>
  <c r="R123" i="15"/>
  <c r="Q123" i="15"/>
  <c r="S122" i="15"/>
  <c r="R122" i="15"/>
  <c r="Q122" i="15"/>
  <c r="S121" i="15"/>
  <c r="R121" i="15"/>
  <c r="Q121" i="15"/>
  <c r="S120" i="15"/>
  <c r="R120" i="15"/>
  <c r="Q120" i="15"/>
  <c r="S119" i="15"/>
  <c r="R119" i="15"/>
  <c r="Q119" i="15"/>
  <c r="S118" i="15"/>
  <c r="R118" i="15"/>
  <c r="Q118" i="15"/>
  <c r="S117" i="15"/>
  <c r="R117" i="15"/>
  <c r="Q117" i="15"/>
  <c r="S116" i="15"/>
  <c r="R116" i="15"/>
  <c r="Q116" i="15"/>
  <c r="S115" i="15"/>
  <c r="R115" i="15"/>
  <c r="Q115" i="15"/>
  <c r="S114" i="15"/>
  <c r="R114" i="15"/>
  <c r="Q114" i="15"/>
  <c r="S113" i="15"/>
  <c r="R113" i="15"/>
  <c r="Q113" i="15"/>
  <c r="S112" i="15"/>
  <c r="R112" i="15"/>
  <c r="Q112" i="15"/>
  <c r="S111" i="15"/>
  <c r="R111" i="15"/>
  <c r="Q111" i="15"/>
  <c r="S110" i="15"/>
  <c r="R110" i="15"/>
  <c r="Q110" i="15"/>
  <c r="S109" i="15"/>
  <c r="R109" i="15"/>
  <c r="Q109" i="15"/>
  <c r="S108" i="15"/>
  <c r="R108" i="15"/>
  <c r="Q108" i="15"/>
  <c r="S107" i="15"/>
  <c r="R107" i="15"/>
  <c r="Q107" i="15"/>
  <c r="S106" i="15"/>
  <c r="R106" i="15"/>
  <c r="Q106" i="15"/>
  <c r="S105" i="15"/>
  <c r="R105" i="15"/>
  <c r="Q105" i="15"/>
  <c r="S104" i="15"/>
  <c r="R104" i="15"/>
  <c r="Q104" i="15"/>
  <c r="S103" i="15"/>
  <c r="R103" i="15"/>
  <c r="Q103" i="15"/>
  <c r="S102" i="15"/>
  <c r="R102" i="15"/>
  <c r="Q102" i="15"/>
  <c r="S101" i="15"/>
  <c r="R101" i="15"/>
  <c r="Q101" i="15"/>
  <c r="S100" i="15"/>
  <c r="R100" i="15"/>
  <c r="Q100" i="15"/>
  <c r="S99" i="15"/>
  <c r="R99" i="15"/>
  <c r="Q99" i="15"/>
  <c r="S98" i="15"/>
  <c r="R98" i="15"/>
  <c r="Q98" i="15"/>
  <c r="S97" i="15"/>
  <c r="R97" i="15"/>
  <c r="Q97" i="15"/>
  <c r="S96" i="15"/>
  <c r="R96" i="15"/>
  <c r="Q96" i="15"/>
  <c r="S95" i="15"/>
  <c r="R95" i="15"/>
  <c r="Q95" i="15"/>
  <c r="S94" i="15"/>
  <c r="R94" i="15"/>
  <c r="Q94" i="15"/>
  <c r="S93" i="15"/>
  <c r="R93" i="15"/>
  <c r="Q93" i="15"/>
  <c r="S92" i="15"/>
  <c r="R92" i="15"/>
  <c r="Q92" i="15"/>
  <c r="S91" i="15"/>
  <c r="R91" i="15"/>
  <c r="Q91" i="15"/>
  <c r="S90" i="15"/>
  <c r="R90" i="15"/>
  <c r="Q90" i="15"/>
  <c r="S89" i="15"/>
  <c r="R89" i="15"/>
  <c r="Q89" i="15"/>
  <c r="S88" i="15"/>
  <c r="R88" i="15"/>
  <c r="Q88" i="15"/>
  <c r="S87" i="15"/>
  <c r="R87" i="15"/>
  <c r="Q87" i="15"/>
  <c r="S86" i="15"/>
  <c r="R86" i="15"/>
  <c r="Q86" i="15"/>
  <c r="S85" i="15"/>
  <c r="R85" i="15"/>
  <c r="Q85" i="15"/>
  <c r="S84" i="15"/>
  <c r="R84" i="15"/>
  <c r="Q84" i="15"/>
  <c r="S83" i="15"/>
  <c r="R83" i="15"/>
  <c r="Q83" i="15"/>
  <c r="S82" i="15"/>
  <c r="R82" i="15"/>
  <c r="Q82" i="15"/>
  <c r="S81" i="15"/>
  <c r="R81" i="15"/>
  <c r="Q81" i="15"/>
  <c r="S80" i="15"/>
  <c r="R80" i="15"/>
  <c r="Q80" i="15"/>
  <c r="S79" i="15"/>
  <c r="R79" i="15"/>
  <c r="Q79" i="15"/>
  <c r="S78" i="15"/>
  <c r="R78" i="15"/>
  <c r="Q78" i="15"/>
  <c r="S77" i="15"/>
  <c r="R77" i="15"/>
  <c r="Q77" i="15"/>
  <c r="S76" i="15"/>
  <c r="R76" i="15"/>
  <c r="Q76" i="15"/>
  <c r="S75" i="15"/>
  <c r="R75" i="15"/>
  <c r="Q75" i="15"/>
  <c r="S74" i="15"/>
  <c r="R74" i="15"/>
  <c r="Q74" i="15"/>
  <c r="S73" i="15"/>
  <c r="R73" i="15"/>
  <c r="Q73" i="15"/>
  <c r="S72" i="15"/>
  <c r="R72" i="15"/>
  <c r="Q72" i="15"/>
  <c r="S71" i="15"/>
  <c r="R71" i="15"/>
  <c r="Q71" i="15"/>
  <c r="S70" i="15"/>
  <c r="R70" i="15"/>
  <c r="Q70" i="15"/>
  <c r="S69" i="15"/>
  <c r="R69" i="15"/>
  <c r="Q69" i="15"/>
  <c r="S68" i="15"/>
  <c r="R68" i="15"/>
  <c r="Q68" i="15"/>
  <c r="S67" i="15"/>
  <c r="R67" i="15"/>
  <c r="Q67" i="15"/>
  <c r="S66" i="15"/>
  <c r="R66" i="15"/>
  <c r="Q66" i="15"/>
  <c r="S65" i="15"/>
  <c r="R65" i="15"/>
  <c r="Q65" i="15"/>
  <c r="S64" i="15"/>
  <c r="R64" i="15"/>
  <c r="Q64" i="15"/>
  <c r="S63" i="15"/>
  <c r="R63" i="15"/>
  <c r="Q63" i="15"/>
  <c r="S62" i="15"/>
  <c r="R62" i="15"/>
  <c r="Q62" i="15"/>
  <c r="S61" i="15"/>
  <c r="R61" i="15"/>
  <c r="Q61" i="15"/>
  <c r="S60" i="15"/>
  <c r="R60" i="15"/>
  <c r="Q60" i="15"/>
  <c r="S59" i="15"/>
  <c r="R59" i="15"/>
  <c r="Q59" i="15"/>
  <c r="S58" i="15"/>
  <c r="R58" i="15"/>
  <c r="Q58" i="15"/>
  <c r="S57" i="15"/>
  <c r="R57" i="15"/>
  <c r="Q57" i="15"/>
  <c r="S56" i="15"/>
  <c r="R56" i="15"/>
  <c r="Q56" i="15"/>
  <c r="S55" i="15"/>
  <c r="R55" i="15"/>
  <c r="Q55" i="15"/>
  <c r="S54" i="15"/>
  <c r="R54" i="15"/>
  <c r="Q54" i="15"/>
  <c r="S53" i="15"/>
  <c r="R53" i="15"/>
  <c r="Q53" i="15"/>
  <c r="S52" i="15"/>
  <c r="R52" i="15"/>
  <c r="Q52" i="15"/>
  <c r="S51" i="15"/>
  <c r="R51" i="15"/>
  <c r="Q51" i="15"/>
  <c r="S50" i="15"/>
  <c r="R50" i="15"/>
  <c r="Q50" i="15"/>
  <c r="S49" i="15"/>
  <c r="R49" i="15"/>
  <c r="Q49" i="15"/>
  <c r="S48" i="15"/>
  <c r="R48" i="15"/>
  <c r="Q48" i="15"/>
  <c r="S47" i="15"/>
  <c r="R47" i="15"/>
  <c r="Q47" i="15"/>
  <c r="S46" i="15"/>
  <c r="R46" i="15"/>
  <c r="Q46" i="15"/>
  <c r="S45" i="15"/>
  <c r="R45" i="15"/>
  <c r="Q45" i="15"/>
  <c r="S44" i="15"/>
  <c r="R44" i="15"/>
  <c r="Q44" i="15"/>
  <c r="S43" i="15"/>
  <c r="R43" i="15"/>
  <c r="Q43" i="15"/>
  <c r="S42" i="15"/>
  <c r="R42" i="15"/>
  <c r="Q42" i="15"/>
  <c r="S41" i="15"/>
  <c r="R41" i="15"/>
  <c r="Q41" i="15"/>
  <c r="S40" i="15"/>
  <c r="R40" i="15"/>
  <c r="Q40" i="15"/>
  <c r="S39" i="15"/>
  <c r="R39" i="15"/>
  <c r="Q39" i="15"/>
  <c r="S38" i="15"/>
  <c r="R38" i="15"/>
  <c r="Q38" i="15"/>
  <c r="S37" i="15"/>
  <c r="R37" i="15"/>
  <c r="Q37" i="15"/>
  <c r="S36" i="15"/>
  <c r="R36" i="15"/>
  <c r="Q36" i="15"/>
  <c r="S35" i="15"/>
  <c r="R35" i="15"/>
  <c r="Q35" i="15"/>
  <c r="S34" i="15"/>
  <c r="R34" i="15"/>
  <c r="Q34" i="15"/>
  <c r="S33" i="15"/>
  <c r="R33" i="15"/>
  <c r="Q33" i="15"/>
  <c r="S32" i="15"/>
  <c r="R32" i="15"/>
  <c r="Q32" i="15"/>
  <c r="S31" i="15"/>
  <c r="R31" i="15"/>
  <c r="Q31" i="15"/>
  <c r="S30" i="15"/>
  <c r="R30" i="15"/>
  <c r="Q30" i="15"/>
  <c r="S29" i="15"/>
  <c r="R29" i="15"/>
  <c r="Q29" i="15"/>
  <c r="S28" i="15"/>
  <c r="R28" i="15"/>
  <c r="Q28" i="15"/>
  <c r="S27" i="15"/>
  <c r="R27" i="15"/>
  <c r="Q27" i="15"/>
  <c r="S26" i="15"/>
  <c r="R26" i="15"/>
  <c r="Q26" i="15"/>
  <c r="S25" i="15"/>
  <c r="R25" i="15"/>
  <c r="Q25" i="15"/>
  <c r="S24" i="15"/>
  <c r="R24" i="15"/>
  <c r="Q24" i="15"/>
  <c r="S23" i="15"/>
  <c r="R23" i="15"/>
  <c r="Q23" i="15"/>
  <c r="S22" i="15"/>
  <c r="R22" i="15"/>
  <c r="Q22" i="15"/>
  <c r="S21" i="15"/>
  <c r="R21" i="15"/>
  <c r="Q21" i="15"/>
  <c r="S20" i="15"/>
  <c r="R20" i="15"/>
  <c r="Q20" i="15"/>
  <c r="S19" i="15"/>
  <c r="R19" i="15"/>
  <c r="Q19" i="15"/>
  <c r="S18" i="15"/>
  <c r="R18" i="15"/>
  <c r="Q18" i="15"/>
  <c r="S17" i="15"/>
  <c r="R17" i="15"/>
  <c r="Q17" i="15"/>
  <c r="S16" i="15"/>
  <c r="R16" i="15"/>
  <c r="Q16" i="15"/>
  <c r="S15" i="15"/>
  <c r="R15" i="15"/>
  <c r="Q15" i="15"/>
  <c r="S14" i="15"/>
  <c r="R14" i="15"/>
  <c r="Q14" i="15"/>
  <c r="S13" i="15"/>
  <c r="R13" i="15"/>
  <c r="Q13" i="15"/>
  <c r="S12" i="15"/>
  <c r="R12" i="15"/>
  <c r="Q12" i="15"/>
  <c r="S11" i="15"/>
  <c r="R11" i="15"/>
  <c r="Q11" i="15"/>
  <c r="S10" i="15"/>
  <c r="R10" i="15"/>
  <c r="Q10" i="15"/>
  <c r="S9" i="15"/>
  <c r="R9" i="15"/>
  <c r="Q9" i="15"/>
  <c r="S8" i="15"/>
  <c r="R8" i="15"/>
  <c r="Q8" i="15"/>
  <c r="S7" i="15"/>
  <c r="R7" i="15"/>
  <c r="Q7" i="15"/>
  <c r="I6" i="15"/>
  <c r="H6" i="15"/>
  <c r="M6" i="15"/>
  <c r="L6" i="15"/>
  <c r="R6" i="15"/>
  <c r="Q6" i="15"/>
  <c r="S6" i="15"/>
  <c r="M335" i="15"/>
  <c r="L335" i="15"/>
  <c r="M334" i="15"/>
  <c r="L334" i="15"/>
  <c r="M333" i="15"/>
  <c r="L333" i="15"/>
  <c r="M332" i="15"/>
  <c r="L332" i="15"/>
  <c r="M331" i="15"/>
  <c r="L331" i="15"/>
  <c r="M330" i="15"/>
  <c r="L330" i="15"/>
  <c r="M329" i="15"/>
  <c r="L329" i="15"/>
  <c r="M328" i="15"/>
  <c r="L328" i="15"/>
  <c r="M327" i="15"/>
  <c r="L327" i="15"/>
  <c r="M326" i="15"/>
  <c r="L326" i="15"/>
  <c r="M325" i="15"/>
  <c r="L325" i="15"/>
  <c r="M324" i="15"/>
  <c r="L324" i="15"/>
  <c r="M323" i="15"/>
  <c r="L323" i="15"/>
  <c r="M322" i="15"/>
  <c r="L322" i="15"/>
  <c r="M321" i="15"/>
  <c r="L321" i="15"/>
  <c r="M320" i="15"/>
  <c r="L320" i="15"/>
  <c r="M319" i="15"/>
  <c r="L319" i="15"/>
  <c r="M318" i="15"/>
  <c r="L318" i="15"/>
  <c r="M317" i="15"/>
  <c r="L317" i="15"/>
  <c r="M316" i="15"/>
  <c r="L316" i="15"/>
  <c r="M315" i="15"/>
  <c r="L315" i="15"/>
  <c r="M314" i="15"/>
  <c r="L314" i="15"/>
  <c r="M313" i="15"/>
  <c r="L313" i="15"/>
  <c r="M312" i="15"/>
  <c r="L312" i="15"/>
  <c r="M311" i="15"/>
  <c r="L311" i="15"/>
  <c r="M310" i="15"/>
  <c r="L310" i="15"/>
  <c r="M309" i="15"/>
  <c r="L309" i="15"/>
  <c r="M308" i="15"/>
  <c r="L308" i="15"/>
  <c r="M307" i="15"/>
  <c r="L307" i="15"/>
  <c r="M306" i="15"/>
  <c r="L306" i="15"/>
  <c r="M305" i="15"/>
  <c r="L305" i="15"/>
  <c r="M304" i="15"/>
  <c r="L304" i="15"/>
  <c r="M303" i="15"/>
  <c r="L303" i="15"/>
  <c r="M302" i="15"/>
  <c r="L302" i="15"/>
  <c r="M301" i="15"/>
  <c r="L301" i="15"/>
  <c r="M300" i="15"/>
  <c r="L300" i="15"/>
  <c r="M299" i="15"/>
  <c r="L299" i="15"/>
  <c r="M298" i="15"/>
  <c r="L298" i="15"/>
  <c r="M297" i="15"/>
  <c r="L297" i="15"/>
  <c r="M296" i="15"/>
  <c r="L296" i="15"/>
  <c r="M295" i="15"/>
  <c r="L295" i="15"/>
  <c r="M294" i="15"/>
  <c r="L294" i="15"/>
  <c r="M293" i="15"/>
  <c r="L293" i="15"/>
  <c r="M292" i="15"/>
  <c r="L292" i="15"/>
  <c r="M291" i="15"/>
  <c r="L291" i="15"/>
  <c r="M290" i="15"/>
  <c r="L290" i="15"/>
  <c r="M289" i="15"/>
  <c r="L289" i="15"/>
  <c r="M288" i="15"/>
  <c r="L288" i="15"/>
  <c r="M287" i="15"/>
  <c r="L287" i="15"/>
  <c r="M286" i="15"/>
  <c r="L286" i="15"/>
  <c r="M285" i="15"/>
  <c r="L285" i="15"/>
  <c r="M284" i="15"/>
  <c r="L284" i="15"/>
  <c r="M283" i="15"/>
  <c r="L283" i="15"/>
  <c r="M282" i="15"/>
  <c r="L282" i="15"/>
  <c r="M281" i="15"/>
  <c r="L281" i="15"/>
  <c r="M280" i="15"/>
  <c r="L280" i="15"/>
  <c r="M279" i="15"/>
  <c r="L279" i="15"/>
  <c r="M278" i="15"/>
  <c r="L278" i="15"/>
  <c r="M277" i="15"/>
  <c r="L277" i="15"/>
  <c r="M276" i="15"/>
  <c r="L276" i="15"/>
  <c r="M275" i="15"/>
  <c r="L275" i="15"/>
  <c r="M274" i="15"/>
  <c r="L274" i="15"/>
  <c r="M273" i="15"/>
  <c r="L273" i="15"/>
  <c r="M272" i="15"/>
  <c r="L272" i="15"/>
  <c r="M271" i="15"/>
  <c r="L271" i="15"/>
  <c r="M270" i="15"/>
  <c r="L270" i="15"/>
  <c r="M269" i="15"/>
  <c r="L269" i="15"/>
  <c r="M268" i="15"/>
  <c r="L268" i="15"/>
  <c r="M267" i="15"/>
  <c r="L267" i="15"/>
  <c r="M266" i="15"/>
  <c r="L266" i="15"/>
  <c r="M265" i="15"/>
  <c r="L265" i="15"/>
  <c r="M264" i="15"/>
  <c r="L264" i="15"/>
  <c r="M263" i="15"/>
  <c r="L263" i="15"/>
  <c r="M262" i="15"/>
  <c r="L262" i="15"/>
  <c r="M261" i="15"/>
  <c r="L261" i="15"/>
  <c r="M260" i="15"/>
  <c r="L260" i="15"/>
  <c r="M259" i="15"/>
  <c r="L259" i="15"/>
  <c r="M258" i="15"/>
  <c r="L258" i="15"/>
  <c r="M257" i="15"/>
  <c r="L257" i="15"/>
  <c r="M256" i="15"/>
  <c r="L256" i="15"/>
  <c r="M255" i="15"/>
  <c r="L255" i="15"/>
  <c r="M254" i="15"/>
  <c r="L254" i="15"/>
  <c r="M253" i="15"/>
  <c r="L253" i="15"/>
  <c r="M252" i="15"/>
  <c r="L252" i="15"/>
  <c r="M251" i="15"/>
  <c r="L251" i="15"/>
  <c r="M250" i="15"/>
  <c r="L250" i="15"/>
  <c r="M249" i="15"/>
  <c r="L249" i="15"/>
  <c r="M248" i="15"/>
  <c r="L248" i="15"/>
  <c r="M247" i="15"/>
  <c r="L247" i="15"/>
  <c r="M246" i="15"/>
  <c r="L246" i="15"/>
  <c r="M245" i="15"/>
  <c r="L245" i="15"/>
  <c r="M244" i="15"/>
  <c r="L244" i="15"/>
  <c r="M243" i="15"/>
  <c r="L243" i="15"/>
  <c r="M242" i="15"/>
  <c r="L242" i="15"/>
  <c r="M241" i="15"/>
  <c r="L241" i="15"/>
  <c r="M240" i="15"/>
  <c r="L240" i="15"/>
  <c r="M239" i="15"/>
  <c r="L239" i="15"/>
  <c r="M238" i="15"/>
  <c r="L238" i="15"/>
  <c r="M237" i="15"/>
  <c r="L237" i="15"/>
  <c r="M236" i="15"/>
  <c r="L236" i="15"/>
  <c r="M235" i="15"/>
  <c r="L235" i="15"/>
  <c r="M234" i="15"/>
  <c r="L234" i="15"/>
  <c r="M233" i="15"/>
  <c r="L233" i="15"/>
  <c r="M232" i="15"/>
  <c r="L232" i="15"/>
  <c r="M231" i="15"/>
  <c r="L231" i="15"/>
  <c r="M230" i="15"/>
  <c r="L230" i="15"/>
  <c r="M229" i="15"/>
  <c r="L229" i="15"/>
  <c r="M228" i="15"/>
  <c r="L228" i="15"/>
  <c r="M227" i="15"/>
  <c r="L227" i="15"/>
  <c r="M226" i="15"/>
  <c r="L226" i="15"/>
  <c r="M225" i="15"/>
  <c r="L225" i="15"/>
  <c r="M224" i="15"/>
  <c r="L224" i="15"/>
  <c r="M223" i="15"/>
  <c r="L223" i="15"/>
  <c r="M222" i="15"/>
  <c r="L222" i="15"/>
  <c r="M221" i="15"/>
  <c r="L221" i="15"/>
  <c r="M220" i="15"/>
  <c r="L220" i="15"/>
  <c r="M219" i="15"/>
  <c r="L219" i="15"/>
  <c r="M218" i="15"/>
  <c r="L218" i="15"/>
  <c r="M217" i="15"/>
  <c r="L217" i="15"/>
  <c r="M216" i="15"/>
  <c r="L216" i="15"/>
  <c r="M215" i="15"/>
  <c r="L215" i="15"/>
  <c r="M214" i="15"/>
  <c r="L214" i="15"/>
  <c r="M213" i="15"/>
  <c r="L213" i="15"/>
  <c r="M212" i="15"/>
  <c r="L212" i="15"/>
  <c r="M211" i="15"/>
  <c r="L211" i="15"/>
  <c r="M210" i="15"/>
  <c r="L210" i="15"/>
  <c r="M209" i="15"/>
  <c r="L209" i="15"/>
  <c r="M208" i="15"/>
  <c r="L208" i="15"/>
  <c r="M207" i="15"/>
  <c r="L207" i="15"/>
  <c r="M206" i="15"/>
  <c r="L206" i="15"/>
  <c r="M205" i="15"/>
  <c r="L205" i="15"/>
  <c r="M204" i="15"/>
  <c r="L204" i="15"/>
  <c r="M203" i="15"/>
  <c r="L203" i="15"/>
  <c r="M202" i="15"/>
  <c r="L202" i="15"/>
  <c r="M201" i="15"/>
  <c r="L201" i="15"/>
  <c r="M200" i="15"/>
  <c r="L200" i="15"/>
  <c r="M199" i="15"/>
  <c r="L199" i="15"/>
  <c r="M198" i="15"/>
  <c r="L198" i="15"/>
  <c r="M197" i="15"/>
  <c r="L197" i="15"/>
  <c r="M196" i="15"/>
  <c r="L196" i="15"/>
  <c r="M195" i="15"/>
  <c r="L195" i="15"/>
  <c r="M194" i="15"/>
  <c r="L194" i="15"/>
  <c r="M193" i="15"/>
  <c r="L193" i="15"/>
  <c r="M192" i="15"/>
  <c r="L192" i="15"/>
  <c r="M191" i="15"/>
  <c r="L191" i="15"/>
  <c r="M190" i="15"/>
  <c r="L190" i="15"/>
  <c r="M189" i="15"/>
  <c r="L189" i="15"/>
  <c r="M188" i="15"/>
  <c r="L188" i="15"/>
  <c r="M187" i="15"/>
  <c r="L187" i="15"/>
  <c r="M186" i="15"/>
  <c r="L186" i="15"/>
  <c r="M185" i="15"/>
  <c r="L185" i="15"/>
  <c r="M184" i="15"/>
  <c r="L184" i="15"/>
  <c r="M183" i="15"/>
  <c r="L183" i="15"/>
  <c r="M182" i="15"/>
  <c r="L182" i="15"/>
  <c r="M181" i="15"/>
  <c r="L181" i="15"/>
  <c r="M180" i="15"/>
  <c r="L180" i="15"/>
  <c r="M179" i="15"/>
  <c r="L179" i="15"/>
  <c r="M178" i="15"/>
  <c r="L178" i="15"/>
  <c r="M177" i="15"/>
  <c r="L177" i="15"/>
  <c r="M176" i="15"/>
  <c r="L176" i="15"/>
  <c r="M175" i="15"/>
  <c r="L175" i="15"/>
  <c r="M174" i="15"/>
  <c r="L174" i="15"/>
  <c r="M173" i="15"/>
  <c r="L173" i="15"/>
  <c r="M172" i="15"/>
  <c r="L172" i="15"/>
  <c r="M171" i="15"/>
  <c r="L171" i="15"/>
  <c r="M170" i="15"/>
  <c r="L170" i="15"/>
  <c r="M169" i="15"/>
  <c r="L169" i="15"/>
  <c r="M168" i="15"/>
  <c r="L168" i="15"/>
  <c r="M167" i="15"/>
  <c r="L167" i="15"/>
  <c r="M166" i="15"/>
  <c r="L166" i="15"/>
  <c r="M165" i="15"/>
  <c r="L165" i="15"/>
  <c r="M164" i="15"/>
  <c r="L164" i="15"/>
  <c r="M163" i="15"/>
  <c r="L163" i="15"/>
  <c r="M162" i="15"/>
  <c r="L162" i="15"/>
  <c r="M161" i="15"/>
  <c r="L161" i="15"/>
  <c r="M160" i="15"/>
  <c r="L160" i="15"/>
  <c r="M159" i="15"/>
  <c r="L159" i="15"/>
  <c r="M158" i="15"/>
  <c r="L158" i="15"/>
  <c r="M157" i="15"/>
  <c r="L157" i="15"/>
  <c r="M156" i="15"/>
  <c r="L156" i="15"/>
  <c r="M155" i="15"/>
  <c r="L155" i="15"/>
  <c r="M154" i="15"/>
  <c r="L154" i="15"/>
  <c r="M153" i="15"/>
  <c r="L153" i="15"/>
  <c r="M152" i="15"/>
  <c r="L152" i="15"/>
  <c r="M151" i="15"/>
  <c r="L151" i="15"/>
  <c r="M150" i="15"/>
  <c r="L150" i="15"/>
  <c r="M149" i="15"/>
  <c r="L149" i="15"/>
  <c r="M148" i="15"/>
  <c r="L148" i="15"/>
  <c r="M147" i="15"/>
  <c r="L147" i="15"/>
  <c r="M146" i="15"/>
  <c r="L146" i="15"/>
  <c r="M145" i="15"/>
  <c r="L145" i="15"/>
  <c r="M144" i="15"/>
  <c r="L144" i="15"/>
  <c r="M143" i="15"/>
  <c r="L143" i="15"/>
  <c r="M142" i="15"/>
  <c r="L142" i="15"/>
  <c r="M141" i="15"/>
  <c r="L141" i="15"/>
  <c r="M140" i="15"/>
  <c r="L140" i="15"/>
  <c r="M139" i="15"/>
  <c r="L139" i="15"/>
  <c r="M138" i="15"/>
  <c r="L138" i="15"/>
  <c r="M137" i="15"/>
  <c r="L137" i="15"/>
  <c r="M136" i="15"/>
  <c r="L136" i="15"/>
  <c r="M135" i="15"/>
  <c r="L135" i="15"/>
  <c r="M134" i="15"/>
  <c r="L134" i="15"/>
  <c r="M133" i="15"/>
  <c r="L133" i="15"/>
  <c r="M132" i="15"/>
  <c r="L132" i="15"/>
  <c r="M131" i="15"/>
  <c r="L131" i="15"/>
  <c r="M130" i="15"/>
  <c r="L130" i="15"/>
  <c r="M129" i="15"/>
  <c r="L129" i="15"/>
  <c r="M128" i="15"/>
  <c r="L128" i="15"/>
  <c r="M127" i="15"/>
  <c r="L127" i="15"/>
  <c r="M126" i="15"/>
  <c r="L126" i="15"/>
  <c r="M125" i="15"/>
  <c r="L125" i="15"/>
  <c r="M124" i="15"/>
  <c r="L124" i="15"/>
  <c r="M123" i="15"/>
  <c r="L123" i="15"/>
  <c r="M122" i="15"/>
  <c r="L122" i="15"/>
  <c r="M121" i="15"/>
  <c r="L121" i="15"/>
  <c r="M120" i="15"/>
  <c r="L120" i="15"/>
  <c r="M119" i="15"/>
  <c r="L119" i="15"/>
  <c r="M118" i="15"/>
  <c r="L118" i="15"/>
  <c r="M117" i="15"/>
  <c r="L117" i="15"/>
  <c r="M116" i="15"/>
  <c r="L116" i="15"/>
  <c r="M115" i="15"/>
  <c r="L115" i="15"/>
  <c r="M114" i="15"/>
  <c r="L114" i="15"/>
  <c r="M113" i="15"/>
  <c r="L113" i="15"/>
  <c r="M112" i="15"/>
  <c r="L112" i="15"/>
  <c r="M111" i="15"/>
  <c r="L111" i="15"/>
  <c r="M110" i="15"/>
  <c r="L110" i="15"/>
  <c r="M109" i="15"/>
  <c r="L109" i="15"/>
  <c r="M108" i="15"/>
  <c r="L108" i="15"/>
  <c r="M107" i="15"/>
  <c r="L107" i="15"/>
  <c r="M106" i="15"/>
  <c r="L106" i="15"/>
  <c r="M105" i="15"/>
  <c r="L105" i="15"/>
  <c r="M104" i="15"/>
  <c r="L104" i="15"/>
  <c r="M103" i="15"/>
  <c r="L103" i="15"/>
  <c r="M102" i="15"/>
  <c r="L102" i="15"/>
  <c r="M101" i="15"/>
  <c r="L101" i="15"/>
  <c r="M100" i="15"/>
  <c r="L100" i="15"/>
  <c r="M99" i="15"/>
  <c r="L99" i="15"/>
  <c r="M98" i="15"/>
  <c r="L98" i="15"/>
  <c r="M97" i="15"/>
  <c r="L97" i="15"/>
  <c r="M96" i="15"/>
  <c r="L96" i="15"/>
  <c r="M95" i="15"/>
  <c r="L95" i="15"/>
  <c r="M94" i="15"/>
  <c r="L94" i="15"/>
  <c r="M93" i="15"/>
  <c r="L93" i="15"/>
  <c r="M92" i="15"/>
  <c r="L92" i="15"/>
  <c r="M91" i="15"/>
  <c r="L91" i="15"/>
  <c r="M90" i="15"/>
  <c r="L90" i="15"/>
  <c r="M89" i="15"/>
  <c r="L89" i="15"/>
  <c r="M88" i="15"/>
  <c r="L88" i="15"/>
  <c r="M87" i="15"/>
  <c r="L87" i="15"/>
  <c r="M86" i="15"/>
  <c r="L86" i="15"/>
  <c r="M85" i="15"/>
  <c r="L85" i="15"/>
  <c r="M84" i="15"/>
  <c r="L84" i="15"/>
  <c r="M83" i="15"/>
  <c r="L83" i="15"/>
  <c r="M82" i="15"/>
  <c r="L82" i="15"/>
  <c r="M81" i="15"/>
  <c r="L81" i="15"/>
  <c r="M80" i="15"/>
  <c r="L80" i="15"/>
  <c r="M79" i="15"/>
  <c r="L79" i="15"/>
  <c r="M78" i="15"/>
  <c r="L78" i="15"/>
  <c r="M77" i="15"/>
  <c r="L77" i="15"/>
  <c r="M76" i="15"/>
  <c r="L76" i="15"/>
  <c r="M75" i="15"/>
  <c r="L75" i="15"/>
  <c r="M74" i="15"/>
  <c r="L74" i="15"/>
  <c r="M73" i="15"/>
  <c r="L73" i="15"/>
  <c r="M72" i="15"/>
  <c r="L72" i="15"/>
  <c r="M71" i="15"/>
  <c r="L71" i="15"/>
  <c r="M70" i="15"/>
  <c r="L70" i="15"/>
  <c r="M69" i="15"/>
  <c r="L69" i="15"/>
  <c r="M68" i="15"/>
  <c r="L68" i="15"/>
  <c r="M67" i="15"/>
  <c r="L67" i="15"/>
  <c r="M66" i="15"/>
  <c r="L66" i="15"/>
  <c r="M65" i="15"/>
  <c r="L65" i="15"/>
  <c r="M64" i="15"/>
  <c r="L64" i="15"/>
  <c r="M63" i="15"/>
  <c r="L63" i="15"/>
  <c r="M62" i="15"/>
  <c r="L62" i="15"/>
  <c r="M61" i="15"/>
  <c r="L61" i="15"/>
  <c r="M60" i="15"/>
  <c r="L60" i="15"/>
  <c r="M59" i="15"/>
  <c r="L59" i="15"/>
  <c r="M58" i="15"/>
  <c r="L58" i="15"/>
  <c r="M57" i="15"/>
  <c r="L57" i="15"/>
  <c r="M56" i="15"/>
  <c r="L56" i="15"/>
  <c r="M55" i="15"/>
  <c r="L55" i="15"/>
  <c r="M54" i="15"/>
  <c r="L54" i="15"/>
  <c r="M53" i="15"/>
  <c r="L53" i="15"/>
  <c r="M52" i="15"/>
  <c r="L52" i="15"/>
  <c r="M51" i="15"/>
  <c r="L51" i="15"/>
  <c r="M50" i="15"/>
  <c r="L50" i="15"/>
  <c r="M49" i="15"/>
  <c r="L49" i="15"/>
  <c r="M48" i="15"/>
  <c r="L48" i="15"/>
  <c r="M47" i="15"/>
  <c r="L47" i="15"/>
  <c r="M46" i="15"/>
  <c r="L46" i="15"/>
  <c r="M45" i="15"/>
  <c r="L45" i="15"/>
  <c r="M44" i="15"/>
  <c r="L44" i="15"/>
  <c r="M43" i="15"/>
  <c r="L43" i="15"/>
  <c r="M42" i="15"/>
  <c r="L42" i="15"/>
  <c r="M41" i="15"/>
  <c r="L41" i="15"/>
  <c r="M40" i="15"/>
  <c r="L40" i="15"/>
  <c r="M39" i="15"/>
  <c r="L39" i="15"/>
  <c r="M38" i="15"/>
  <c r="L38" i="15"/>
  <c r="M37" i="15"/>
  <c r="L37" i="15"/>
  <c r="M36" i="15"/>
  <c r="L36" i="15"/>
  <c r="M35" i="15"/>
  <c r="L35" i="15"/>
  <c r="M34" i="15"/>
  <c r="L34" i="15"/>
  <c r="M33" i="15"/>
  <c r="L33" i="15"/>
  <c r="M32" i="15"/>
  <c r="L32" i="15"/>
  <c r="M31" i="15"/>
  <c r="L31" i="15"/>
  <c r="M30" i="15"/>
  <c r="L30" i="15"/>
  <c r="M29" i="15"/>
  <c r="L29" i="15"/>
  <c r="M28" i="15"/>
  <c r="L28" i="15"/>
  <c r="M27" i="15"/>
  <c r="L27" i="15"/>
  <c r="M26" i="15"/>
  <c r="L26" i="15"/>
  <c r="M25" i="15"/>
  <c r="L25" i="15"/>
  <c r="M24" i="15"/>
  <c r="L24" i="15"/>
  <c r="M23" i="15"/>
  <c r="L23" i="15"/>
  <c r="M22" i="15"/>
  <c r="L22" i="15"/>
  <c r="M21" i="15"/>
  <c r="L21" i="15"/>
  <c r="M20" i="15"/>
  <c r="L20" i="15"/>
  <c r="M19" i="15"/>
  <c r="L19" i="15"/>
  <c r="M18" i="15"/>
  <c r="L18" i="15"/>
  <c r="M17" i="15"/>
  <c r="L17" i="15"/>
  <c r="M16" i="15"/>
  <c r="L16" i="15"/>
  <c r="M15" i="15"/>
  <c r="L15" i="15"/>
  <c r="M14" i="15"/>
  <c r="L14" i="15"/>
  <c r="M13" i="15"/>
  <c r="L13" i="15"/>
  <c r="M12" i="15"/>
  <c r="L12" i="15"/>
  <c r="M11" i="15"/>
  <c r="L11" i="15"/>
  <c r="M10" i="15"/>
  <c r="L10" i="15"/>
  <c r="M9" i="15"/>
  <c r="L9" i="15"/>
  <c r="M8" i="15"/>
  <c r="L8" i="15"/>
  <c r="M7" i="15"/>
  <c r="L7" i="15"/>
  <c r="N335" i="15"/>
  <c r="H335" i="15"/>
  <c r="N334" i="15"/>
  <c r="H334" i="15"/>
  <c r="N333" i="15"/>
  <c r="H333" i="15"/>
  <c r="N332" i="15"/>
  <c r="H332" i="15"/>
  <c r="N331" i="15"/>
  <c r="H331" i="15"/>
  <c r="N330" i="15"/>
  <c r="H330" i="15"/>
  <c r="N329" i="15"/>
  <c r="H329" i="15"/>
  <c r="N328" i="15"/>
  <c r="H328" i="15"/>
  <c r="N327" i="15"/>
  <c r="H327" i="15"/>
  <c r="N326" i="15"/>
  <c r="H326" i="15"/>
  <c r="N325" i="15"/>
  <c r="H325" i="15"/>
  <c r="N324" i="15"/>
  <c r="H324" i="15"/>
  <c r="N323" i="15"/>
  <c r="H323" i="15"/>
  <c r="N322" i="15"/>
  <c r="H322" i="15"/>
  <c r="N321" i="15"/>
  <c r="H321" i="15"/>
  <c r="N320" i="15"/>
  <c r="H320" i="15"/>
  <c r="N319" i="15"/>
  <c r="H319" i="15"/>
  <c r="N318" i="15"/>
  <c r="H318" i="15"/>
  <c r="N317" i="15"/>
  <c r="H317" i="15"/>
  <c r="N316" i="15"/>
  <c r="H316" i="15"/>
  <c r="N315" i="15"/>
  <c r="H315" i="15"/>
  <c r="N314" i="15"/>
  <c r="H314" i="15"/>
  <c r="N313" i="15"/>
  <c r="H313" i="15"/>
  <c r="N312" i="15"/>
  <c r="H312" i="15"/>
  <c r="N311" i="15"/>
  <c r="H311" i="15"/>
  <c r="N310" i="15"/>
  <c r="H310" i="15"/>
  <c r="N309" i="15"/>
  <c r="H309" i="15"/>
  <c r="N308" i="15"/>
  <c r="H308" i="15"/>
  <c r="N307" i="15"/>
  <c r="H307" i="15"/>
  <c r="N306" i="15"/>
  <c r="H306" i="15"/>
  <c r="N305" i="15"/>
  <c r="H305" i="15"/>
  <c r="N304" i="15"/>
  <c r="H304" i="15"/>
  <c r="N303" i="15"/>
  <c r="H303" i="15"/>
  <c r="N302" i="15"/>
  <c r="H302" i="15"/>
  <c r="N301" i="15"/>
  <c r="H301" i="15"/>
  <c r="N300" i="15"/>
  <c r="H300" i="15"/>
  <c r="N299" i="15"/>
  <c r="H299" i="15"/>
  <c r="N298" i="15"/>
  <c r="H298" i="15"/>
  <c r="N297" i="15"/>
  <c r="H297" i="15"/>
  <c r="N296" i="15"/>
  <c r="H296" i="15"/>
  <c r="N295" i="15"/>
  <c r="H295" i="15"/>
  <c r="N294" i="15"/>
  <c r="H294" i="15"/>
  <c r="N293" i="15"/>
  <c r="H293" i="15"/>
  <c r="N292" i="15"/>
  <c r="H292" i="15"/>
  <c r="N291" i="15"/>
  <c r="H291" i="15"/>
  <c r="N290" i="15"/>
  <c r="H290" i="15"/>
  <c r="N289" i="15"/>
  <c r="H289" i="15"/>
  <c r="N288" i="15"/>
  <c r="H288" i="15"/>
  <c r="N287" i="15"/>
  <c r="H287" i="15"/>
  <c r="N286" i="15"/>
  <c r="H286" i="15"/>
  <c r="N285" i="15"/>
  <c r="H285" i="15"/>
  <c r="N284" i="15"/>
  <c r="H284" i="15"/>
  <c r="N283" i="15"/>
  <c r="H283" i="15"/>
  <c r="N282" i="15"/>
  <c r="N281" i="15"/>
  <c r="H281" i="15"/>
  <c r="N280" i="15"/>
  <c r="H280" i="15"/>
  <c r="N279" i="15"/>
  <c r="H279" i="15"/>
  <c r="N278" i="15"/>
  <c r="H278" i="15"/>
  <c r="N277" i="15"/>
  <c r="H277" i="15"/>
  <c r="N276" i="15"/>
  <c r="H276" i="15"/>
  <c r="N275" i="15"/>
  <c r="H275" i="15"/>
  <c r="N274" i="15"/>
  <c r="H274" i="15"/>
  <c r="N273" i="15"/>
  <c r="H273" i="15"/>
  <c r="N272" i="15"/>
  <c r="H272" i="15"/>
  <c r="N271" i="15"/>
  <c r="H271" i="15"/>
  <c r="N270" i="15"/>
  <c r="H270" i="15"/>
  <c r="N269" i="15"/>
  <c r="H269" i="15"/>
  <c r="N268" i="15"/>
  <c r="H268" i="15"/>
  <c r="N267" i="15"/>
  <c r="H267" i="15"/>
  <c r="N266" i="15"/>
  <c r="H266" i="15"/>
  <c r="N265" i="15"/>
  <c r="H265" i="15"/>
  <c r="N264" i="15"/>
  <c r="H264" i="15"/>
  <c r="N263" i="15"/>
  <c r="H263" i="15"/>
  <c r="N262" i="15"/>
  <c r="H262" i="15"/>
  <c r="N261" i="15"/>
  <c r="H261" i="15"/>
  <c r="N260" i="15"/>
  <c r="H260" i="15"/>
  <c r="N259" i="15"/>
  <c r="H259" i="15"/>
  <c r="N258" i="15"/>
  <c r="H258" i="15"/>
  <c r="N257" i="15"/>
  <c r="H257" i="15"/>
  <c r="N256" i="15"/>
  <c r="H256" i="15"/>
  <c r="N255" i="15"/>
  <c r="H255" i="15"/>
  <c r="N254" i="15"/>
  <c r="H254" i="15"/>
  <c r="N253" i="15"/>
  <c r="H253" i="15"/>
  <c r="N252" i="15"/>
  <c r="H252" i="15"/>
  <c r="N251" i="15"/>
  <c r="H251" i="15"/>
  <c r="N250" i="15"/>
  <c r="H250" i="15"/>
  <c r="N249" i="15"/>
  <c r="H249" i="15"/>
  <c r="N248" i="15"/>
  <c r="H248" i="15"/>
  <c r="N247" i="15"/>
  <c r="N246" i="15"/>
  <c r="H246" i="15"/>
  <c r="N245" i="15"/>
  <c r="H245" i="15"/>
  <c r="N244" i="15"/>
  <c r="H244" i="15"/>
  <c r="N243" i="15"/>
  <c r="H243" i="15"/>
  <c r="N242" i="15"/>
  <c r="H242" i="15"/>
  <c r="N241" i="15"/>
  <c r="H241" i="15"/>
  <c r="N240" i="15"/>
  <c r="H240" i="15"/>
  <c r="N239" i="15"/>
  <c r="H239" i="15"/>
  <c r="N238" i="15"/>
  <c r="H238" i="15"/>
  <c r="N237" i="15"/>
  <c r="H237" i="15"/>
  <c r="N236" i="15"/>
  <c r="H236" i="15"/>
  <c r="N235" i="15"/>
  <c r="H235" i="15"/>
  <c r="N234" i="15"/>
  <c r="H234" i="15"/>
  <c r="N233" i="15"/>
  <c r="H233" i="15"/>
  <c r="N232" i="15"/>
  <c r="H232" i="15"/>
  <c r="N231" i="15"/>
  <c r="H231" i="15"/>
  <c r="N230" i="15"/>
  <c r="H230" i="15"/>
  <c r="N229" i="15"/>
  <c r="H229" i="15"/>
  <c r="N228" i="15"/>
  <c r="H228" i="15"/>
  <c r="N227" i="15"/>
  <c r="H227" i="15"/>
  <c r="N226" i="15"/>
  <c r="H226" i="15"/>
  <c r="N225" i="15"/>
  <c r="H225" i="15"/>
  <c r="N224" i="15"/>
  <c r="H224" i="15"/>
  <c r="N223" i="15"/>
  <c r="H223" i="15"/>
  <c r="N222" i="15"/>
  <c r="H222" i="15"/>
  <c r="N221" i="15"/>
  <c r="H221" i="15"/>
  <c r="N220" i="15"/>
  <c r="H220" i="15"/>
  <c r="N219" i="15"/>
  <c r="H219" i="15"/>
  <c r="N218" i="15"/>
  <c r="H218" i="15"/>
  <c r="N217" i="15"/>
  <c r="H217" i="15"/>
  <c r="N216" i="15"/>
  <c r="H216" i="15"/>
  <c r="N215" i="15"/>
  <c r="H215" i="15"/>
  <c r="N214" i="15"/>
  <c r="H214" i="15"/>
  <c r="N213" i="15"/>
  <c r="H213" i="15"/>
  <c r="N212" i="15"/>
  <c r="H212" i="15"/>
  <c r="N211" i="15"/>
  <c r="H211" i="15"/>
  <c r="N210" i="15"/>
  <c r="H210" i="15"/>
  <c r="N209" i="15"/>
  <c r="H209" i="15"/>
  <c r="N208" i="15"/>
  <c r="H208" i="15"/>
  <c r="N207" i="15"/>
  <c r="H207" i="15"/>
  <c r="N206" i="15"/>
  <c r="H206" i="15"/>
  <c r="N205" i="15"/>
  <c r="H205" i="15"/>
  <c r="N204" i="15"/>
  <c r="H204" i="15"/>
  <c r="N203" i="15"/>
  <c r="H203" i="15"/>
  <c r="N202" i="15"/>
  <c r="H202" i="15"/>
  <c r="N201" i="15"/>
  <c r="H201" i="15"/>
  <c r="N200" i="15"/>
  <c r="H200" i="15"/>
  <c r="N199" i="15"/>
  <c r="H199" i="15"/>
  <c r="N198" i="15"/>
  <c r="H198" i="15"/>
  <c r="N197" i="15"/>
  <c r="H197" i="15"/>
  <c r="N196" i="15"/>
  <c r="H196" i="15"/>
  <c r="N195" i="15"/>
  <c r="H195" i="15"/>
  <c r="N194" i="15"/>
  <c r="H194" i="15"/>
  <c r="N193" i="15"/>
  <c r="H193" i="15"/>
  <c r="N192" i="15"/>
  <c r="H192" i="15"/>
  <c r="N191" i="15"/>
  <c r="H191" i="15"/>
  <c r="N190" i="15"/>
  <c r="H190" i="15"/>
  <c r="N189" i="15"/>
  <c r="H189" i="15"/>
  <c r="N188" i="15"/>
  <c r="H188" i="15"/>
  <c r="N187" i="15"/>
  <c r="H187" i="15"/>
  <c r="N186" i="15"/>
  <c r="H186" i="15"/>
  <c r="N185" i="15"/>
  <c r="H185" i="15"/>
  <c r="N184" i="15"/>
  <c r="H184" i="15"/>
  <c r="N183" i="15"/>
  <c r="H183" i="15"/>
  <c r="N182" i="15"/>
  <c r="H182" i="15"/>
  <c r="N181" i="15"/>
  <c r="H181" i="15"/>
  <c r="N180" i="15"/>
  <c r="H180" i="15"/>
  <c r="N179" i="15"/>
  <c r="H179" i="15"/>
  <c r="N178" i="15"/>
  <c r="H178" i="15"/>
  <c r="N177" i="15"/>
  <c r="H177" i="15"/>
  <c r="N176" i="15"/>
  <c r="H176" i="15"/>
  <c r="N175" i="15"/>
  <c r="H175" i="15"/>
  <c r="N174" i="15"/>
  <c r="H174" i="15"/>
  <c r="N173" i="15"/>
  <c r="H173" i="15"/>
  <c r="N172" i="15"/>
  <c r="H172" i="15"/>
  <c r="N171" i="15"/>
  <c r="H171" i="15"/>
  <c r="N170" i="15"/>
  <c r="H170" i="15"/>
  <c r="N169" i="15"/>
  <c r="H169" i="15"/>
  <c r="N168" i="15"/>
  <c r="H168" i="15"/>
  <c r="N167" i="15"/>
  <c r="H167" i="15"/>
  <c r="N166" i="15"/>
  <c r="H166" i="15"/>
  <c r="N165" i="15"/>
  <c r="H165" i="15"/>
  <c r="N164" i="15"/>
  <c r="H164" i="15"/>
  <c r="N163" i="15"/>
  <c r="H163" i="15"/>
  <c r="N162" i="15"/>
  <c r="H162" i="15"/>
  <c r="N161" i="15"/>
  <c r="H161" i="15"/>
  <c r="N160" i="15"/>
  <c r="H160" i="15"/>
  <c r="N159" i="15"/>
  <c r="H159" i="15"/>
  <c r="N158" i="15"/>
  <c r="H158" i="15"/>
  <c r="N157" i="15"/>
  <c r="H157" i="15"/>
  <c r="N156" i="15"/>
  <c r="H156" i="15"/>
  <c r="N155" i="15"/>
  <c r="H155" i="15"/>
  <c r="N154" i="15"/>
  <c r="H154" i="15"/>
  <c r="N153" i="15"/>
  <c r="H153" i="15"/>
  <c r="N152" i="15"/>
  <c r="H152" i="15"/>
  <c r="N151" i="15"/>
  <c r="H151" i="15"/>
  <c r="N150" i="15"/>
  <c r="H150" i="15"/>
  <c r="N149" i="15"/>
  <c r="H149" i="15"/>
  <c r="N148" i="15"/>
  <c r="H148" i="15"/>
  <c r="N147" i="15"/>
  <c r="H147" i="15"/>
  <c r="N146" i="15"/>
  <c r="H146" i="15"/>
  <c r="N145" i="15"/>
  <c r="H145" i="15"/>
  <c r="N144" i="15"/>
  <c r="H144" i="15"/>
  <c r="N143" i="15"/>
  <c r="H143" i="15"/>
  <c r="N142" i="15"/>
  <c r="H142" i="15"/>
  <c r="N141" i="15"/>
  <c r="H141" i="15"/>
  <c r="N140" i="15"/>
  <c r="H140" i="15"/>
  <c r="N139" i="15"/>
  <c r="H139" i="15"/>
  <c r="N138" i="15"/>
  <c r="H138" i="15"/>
  <c r="N137" i="15"/>
  <c r="H137" i="15"/>
  <c r="N136" i="15"/>
  <c r="H136" i="15"/>
  <c r="N135" i="15"/>
  <c r="H135" i="15"/>
  <c r="N134" i="15"/>
  <c r="H134" i="15"/>
  <c r="N133" i="15"/>
  <c r="H133" i="15"/>
  <c r="N132" i="15"/>
  <c r="H132" i="15"/>
  <c r="N131" i="15"/>
  <c r="H131" i="15"/>
  <c r="N130" i="15"/>
  <c r="H130" i="15"/>
  <c r="N129" i="15"/>
  <c r="H129" i="15"/>
  <c r="N128" i="15"/>
  <c r="H128" i="15"/>
  <c r="N127" i="15"/>
  <c r="H127" i="15"/>
  <c r="N126" i="15"/>
  <c r="H126" i="15"/>
  <c r="N125" i="15"/>
  <c r="H125" i="15"/>
  <c r="N124" i="15"/>
  <c r="H124" i="15"/>
  <c r="N123" i="15"/>
  <c r="H123" i="15"/>
  <c r="N122" i="15"/>
  <c r="H122" i="15"/>
  <c r="N121" i="15"/>
  <c r="H121" i="15"/>
  <c r="N120" i="15"/>
  <c r="H120" i="15"/>
  <c r="N119" i="15"/>
  <c r="H119" i="15"/>
  <c r="N118" i="15"/>
  <c r="H118" i="15"/>
  <c r="N117" i="15"/>
  <c r="H117" i="15"/>
  <c r="N116" i="15"/>
  <c r="H116" i="15"/>
  <c r="N115" i="15"/>
  <c r="H115" i="15"/>
  <c r="N114" i="15"/>
  <c r="H114" i="15"/>
  <c r="N113" i="15"/>
  <c r="H113" i="15"/>
  <c r="N112" i="15"/>
  <c r="H112" i="15"/>
  <c r="N111" i="15"/>
  <c r="H111" i="15"/>
  <c r="N110" i="15"/>
  <c r="H110" i="15"/>
  <c r="N109" i="15"/>
  <c r="H109" i="15"/>
  <c r="N108" i="15"/>
  <c r="H108" i="15"/>
  <c r="N107" i="15"/>
  <c r="H107" i="15"/>
  <c r="N106" i="15"/>
  <c r="H106" i="15"/>
  <c r="N105" i="15"/>
  <c r="H105" i="15"/>
  <c r="N104" i="15"/>
  <c r="H104" i="15"/>
  <c r="N103" i="15"/>
  <c r="H103" i="15"/>
  <c r="N102" i="15"/>
  <c r="H102" i="15"/>
  <c r="N101" i="15"/>
  <c r="H101" i="15"/>
  <c r="N100" i="15"/>
  <c r="H100" i="15"/>
  <c r="N99" i="15"/>
  <c r="H99" i="15"/>
  <c r="N98" i="15"/>
  <c r="H98" i="15"/>
  <c r="N97" i="15"/>
  <c r="H97" i="15"/>
  <c r="N96" i="15"/>
  <c r="H96" i="15"/>
  <c r="N95" i="15"/>
  <c r="H95" i="15"/>
  <c r="N94" i="15"/>
  <c r="H94" i="15"/>
  <c r="N93" i="15"/>
  <c r="H93" i="15"/>
  <c r="N92" i="15"/>
  <c r="H92" i="15"/>
  <c r="N91" i="15"/>
  <c r="H91" i="15"/>
  <c r="N90" i="15"/>
  <c r="H90" i="15"/>
  <c r="N89" i="15"/>
  <c r="H89" i="15"/>
  <c r="N88" i="15"/>
  <c r="H88" i="15"/>
  <c r="N87" i="15"/>
  <c r="H87" i="15"/>
  <c r="N86" i="15"/>
  <c r="H86" i="15"/>
  <c r="N85" i="15"/>
  <c r="H85" i="15"/>
  <c r="N84" i="15"/>
  <c r="H84" i="15"/>
  <c r="N83" i="15"/>
  <c r="H83" i="15"/>
  <c r="N82" i="15"/>
  <c r="H82" i="15"/>
  <c r="N81" i="15"/>
  <c r="H81" i="15"/>
  <c r="N80" i="15"/>
  <c r="H80" i="15"/>
  <c r="N79" i="15"/>
  <c r="H79" i="15"/>
  <c r="N78" i="15"/>
  <c r="H78" i="15"/>
  <c r="N77" i="15"/>
  <c r="H77" i="15"/>
  <c r="N76" i="15"/>
  <c r="H76" i="15"/>
  <c r="N75" i="15"/>
  <c r="H75" i="15"/>
  <c r="N74" i="15"/>
  <c r="H74" i="15"/>
  <c r="N73" i="15"/>
  <c r="H73" i="15"/>
  <c r="N72" i="15"/>
  <c r="H72" i="15"/>
  <c r="N71" i="15"/>
  <c r="H71" i="15"/>
  <c r="N70" i="15"/>
  <c r="H70" i="15"/>
  <c r="N69" i="15"/>
  <c r="H69" i="15"/>
  <c r="N68" i="15"/>
  <c r="H68" i="15"/>
  <c r="N67" i="15"/>
  <c r="H67" i="15"/>
  <c r="N66" i="15"/>
  <c r="H66" i="15"/>
  <c r="N65" i="15"/>
  <c r="H65" i="15"/>
  <c r="N64" i="15"/>
  <c r="H64" i="15"/>
  <c r="N63" i="15"/>
  <c r="H63" i="15"/>
  <c r="N62" i="15"/>
  <c r="H62" i="15"/>
  <c r="N61" i="15"/>
  <c r="H61" i="15"/>
  <c r="N60" i="15"/>
  <c r="H60" i="15"/>
  <c r="N59" i="15"/>
  <c r="H59" i="15"/>
  <c r="N58" i="15"/>
  <c r="H58" i="15"/>
  <c r="N57" i="15"/>
  <c r="H57" i="15"/>
  <c r="N56" i="15"/>
  <c r="H56" i="15"/>
  <c r="N55" i="15"/>
  <c r="H55" i="15"/>
  <c r="N54" i="15"/>
  <c r="H54" i="15"/>
  <c r="N53" i="15"/>
  <c r="H53" i="15"/>
  <c r="N52" i="15"/>
  <c r="H52" i="15"/>
  <c r="N51" i="15"/>
  <c r="H51" i="15"/>
  <c r="N50" i="15"/>
  <c r="H50" i="15"/>
  <c r="N49" i="15"/>
  <c r="H49" i="15"/>
  <c r="N48" i="15"/>
  <c r="H48" i="15"/>
  <c r="N47" i="15"/>
  <c r="H47" i="15"/>
  <c r="N46" i="15"/>
  <c r="H46" i="15"/>
  <c r="N45" i="15"/>
  <c r="H45" i="15"/>
  <c r="N44" i="15"/>
  <c r="H44" i="15"/>
  <c r="N43" i="15"/>
  <c r="H43" i="15"/>
  <c r="N42" i="15"/>
  <c r="H42" i="15"/>
  <c r="N41" i="15"/>
  <c r="H41" i="15"/>
  <c r="N40" i="15"/>
  <c r="H40" i="15"/>
  <c r="N39" i="15"/>
  <c r="H39" i="15"/>
  <c r="N38" i="15"/>
  <c r="H38" i="15"/>
  <c r="N37" i="15"/>
  <c r="H37" i="15"/>
  <c r="N36" i="15"/>
  <c r="H36" i="15"/>
  <c r="N35" i="15"/>
  <c r="H35" i="15"/>
  <c r="N34" i="15"/>
  <c r="H34" i="15"/>
  <c r="N33" i="15"/>
  <c r="H33" i="15"/>
  <c r="N32" i="15"/>
  <c r="H32" i="15"/>
  <c r="N31" i="15"/>
  <c r="H31" i="15"/>
  <c r="N30" i="15"/>
  <c r="H30" i="15"/>
  <c r="N29" i="15"/>
  <c r="H29" i="15"/>
  <c r="N28" i="15"/>
  <c r="H28" i="15"/>
  <c r="N27" i="15"/>
  <c r="H27" i="15"/>
  <c r="N26" i="15"/>
  <c r="H26" i="15"/>
  <c r="N25" i="15"/>
  <c r="H25" i="15"/>
  <c r="N24" i="15"/>
  <c r="H24" i="15"/>
  <c r="N23" i="15"/>
  <c r="H23" i="15"/>
  <c r="N22" i="15"/>
  <c r="H22" i="15"/>
  <c r="N21" i="15"/>
  <c r="H21" i="15"/>
  <c r="N20" i="15"/>
  <c r="H20" i="15"/>
  <c r="N19" i="15"/>
  <c r="H19" i="15"/>
  <c r="N18" i="15"/>
  <c r="H18" i="15"/>
  <c r="N17" i="15"/>
  <c r="H17" i="15"/>
  <c r="N16" i="15"/>
  <c r="H16" i="15"/>
  <c r="N15" i="15"/>
  <c r="H15" i="15"/>
  <c r="N14" i="15"/>
  <c r="H14" i="15"/>
  <c r="N13" i="15"/>
  <c r="H13" i="15"/>
  <c r="N12" i="15"/>
  <c r="H12" i="15"/>
  <c r="N11" i="15"/>
  <c r="H11" i="15"/>
  <c r="N10" i="15"/>
  <c r="H10" i="15"/>
  <c r="N9" i="15"/>
  <c r="H9" i="15"/>
  <c r="N8" i="15"/>
  <c r="H8" i="15"/>
  <c r="N7" i="15"/>
  <c r="H7" i="15"/>
  <c r="N6" i="15"/>
  <c r="J335" i="15"/>
  <c r="I335" i="15"/>
  <c r="J334" i="15"/>
  <c r="I334" i="15"/>
  <c r="J333" i="15"/>
  <c r="I333" i="15"/>
  <c r="J332" i="15"/>
  <c r="I332" i="15"/>
  <c r="J331" i="15"/>
  <c r="I331" i="15"/>
  <c r="J330" i="15"/>
  <c r="I330" i="15"/>
  <c r="J329" i="15"/>
  <c r="I329" i="15"/>
  <c r="J328" i="15"/>
  <c r="I328" i="15"/>
  <c r="J327" i="15"/>
  <c r="I327" i="15"/>
  <c r="J326" i="15"/>
  <c r="I326" i="15"/>
  <c r="J325" i="15"/>
  <c r="I325" i="15"/>
  <c r="J324" i="15"/>
  <c r="I324" i="15"/>
  <c r="J323" i="15"/>
  <c r="I323" i="15"/>
  <c r="J322" i="15"/>
  <c r="I322" i="15"/>
  <c r="J321" i="15"/>
  <c r="I321" i="15"/>
  <c r="J320" i="15"/>
  <c r="I320" i="15"/>
  <c r="J319" i="15"/>
  <c r="I319" i="15"/>
  <c r="J318" i="15"/>
  <c r="I318" i="15"/>
  <c r="J317" i="15"/>
  <c r="I317" i="15"/>
  <c r="J316" i="15"/>
  <c r="I316" i="15"/>
  <c r="J315" i="15"/>
  <c r="I315" i="15"/>
  <c r="J314" i="15"/>
  <c r="I314" i="15"/>
  <c r="J313" i="15"/>
  <c r="I313" i="15"/>
  <c r="J312" i="15"/>
  <c r="I312" i="15"/>
  <c r="J311" i="15"/>
  <c r="I311" i="15"/>
  <c r="J310" i="15"/>
  <c r="I310" i="15"/>
  <c r="J309" i="15"/>
  <c r="I309" i="15"/>
  <c r="J308" i="15"/>
  <c r="I308" i="15"/>
  <c r="J307" i="15"/>
  <c r="I307" i="15"/>
  <c r="J306" i="15"/>
  <c r="I306" i="15"/>
  <c r="J305" i="15"/>
  <c r="I305" i="15"/>
  <c r="J304" i="15"/>
  <c r="I304" i="15"/>
  <c r="J303" i="15"/>
  <c r="I303" i="15"/>
  <c r="J302" i="15"/>
  <c r="I302" i="15"/>
  <c r="J301" i="15"/>
  <c r="I301" i="15"/>
  <c r="J300" i="15"/>
  <c r="I300" i="15"/>
  <c r="J299" i="15"/>
  <c r="I299" i="15"/>
  <c r="J298" i="15"/>
  <c r="I298" i="15"/>
  <c r="J297" i="15"/>
  <c r="I297" i="15"/>
  <c r="J296" i="15"/>
  <c r="I296" i="15"/>
  <c r="J295" i="15"/>
  <c r="I295" i="15"/>
  <c r="J294" i="15"/>
  <c r="I294" i="15"/>
  <c r="J293" i="15"/>
  <c r="I293" i="15"/>
  <c r="J292" i="15"/>
  <c r="I292" i="15"/>
  <c r="J291" i="15"/>
  <c r="I291" i="15"/>
  <c r="J290" i="15"/>
  <c r="I290" i="15"/>
  <c r="J289" i="15"/>
  <c r="I289" i="15"/>
  <c r="J288" i="15"/>
  <c r="I288" i="15"/>
  <c r="J287" i="15"/>
  <c r="I287" i="15"/>
  <c r="J286" i="15"/>
  <c r="I286" i="15"/>
  <c r="J285" i="15"/>
  <c r="I285" i="15"/>
  <c r="J284" i="15"/>
  <c r="I284" i="15"/>
  <c r="J283" i="15"/>
  <c r="I283" i="15"/>
  <c r="J281" i="15"/>
  <c r="I281" i="15"/>
  <c r="J280" i="15"/>
  <c r="I280" i="15"/>
  <c r="J279" i="15"/>
  <c r="I279" i="15"/>
  <c r="J278" i="15"/>
  <c r="I278" i="15"/>
  <c r="J277" i="15"/>
  <c r="I277" i="15"/>
  <c r="J276" i="15"/>
  <c r="I276" i="15"/>
  <c r="J275" i="15"/>
  <c r="I275" i="15"/>
  <c r="J274" i="15"/>
  <c r="I274" i="15"/>
  <c r="J273" i="15"/>
  <c r="I273" i="15"/>
  <c r="J272" i="15"/>
  <c r="I272" i="15"/>
  <c r="J271" i="15"/>
  <c r="I271" i="15"/>
  <c r="J270" i="15"/>
  <c r="I270" i="15"/>
  <c r="J269" i="15"/>
  <c r="I269" i="15"/>
  <c r="J268" i="15"/>
  <c r="I268" i="15"/>
  <c r="J267" i="15"/>
  <c r="I267" i="15"/>
  <c r="J266" i="15"/>
  <c r="I266" i="15"/>
  <c r="J265" i="15"/>
  <c r="I265" i="15"/>
  <c r="J264" i="15"/>
  <c r="I264" i="15"/>
  <c r="J263" i="15"/>
  <c r="I263" i="15"/>
  <c r="J262" i="15"/>
  <c r="I262" i="15"/>
  <c r="J261" i="15"/>
  <c r="I261" i="15"/>
  <c r="J260" i="15"/>
  <c r="I260" i="15"/>
  <c r="J259" i="15"/>
  <c r="I259" i="15"/>
  <c r="J258" i="15"/>
  <c r="I258" i="15"/>
  <c r="J257" i="15"/>
  <c r="I257" i="15"/>
  <c r="J256" i="15"/>
  <c r="I256" i="15"/>
  <c r="J255" i="15"/>
  <c r="I255" i="15"/>
  <c r="J254" i="15"/>
  <c r="I254" i="15"/>
  <c r="J253" i="15"/>
  <c r="I253" i="15"/>
  <c r="J252" i="15"/>
  <c r="I252" i="15"/>
  <c r="J251" i="15"/>
  <c r="I251" i="15"/>
  <c r="J250" i="15"/>
  <c r="I250" i="15"/>
  <c r="J249" i="15"/>
  <c r="I249" i="15"/>
  <c r="J248" i="15"/>
  <c r="I248" i="15"/>
  <c r="J246" i="15"/>
  <c r="I246" i="15"/>
  <c r="J245" i="15"/>
  <c r="I245" i="15"/>
  <c r="J244" i="15"/>
  <c r="I244" i="15"/>
  <c r="J243" i="15"/>
  <c r="I243" i="15"/>
  <c r="J242" i="15"/>
  <c r="I242" i="15"/>
  <c r="J241" i="15"/>
  <c r="I241" i="15"/>
  <c r="J240" i="15"/>
  <c r="I240" i="15"/>
  <c r="J239" i="15"/>
  <c r="I239" i="15"/>
  <c r="J238" i="15"/>
  <c r="I238" i="15"/>
  <c r="J237" i="15"/>
  <c r="I237" i="15"/>
  <c r="J236" i="15"/>
  <c r="I236" i="15"/>
  <c r="J235" i="15"/>
  <c r="I235" i="15"/>
  <c r="J234" i="15"/>
  <c r="I234" i="15"/>
  <c r="J233" i="15"/>
  <c r="I233" i="15"/>
  <c r="J232" i="15"/>
  <c r="I232" i="15"/>
  <c r="J231" i="15"/>
  <c r="I231" i="15"/>
  <c r="J230" i="15"/>
  <c r="I230" i="15"/>
  <c r="J229" i="15"/>
  <c r="I229" i="15"/>
  <c r="J228" i="15"/>
  <c r="I228" i="15"/>
  <c r="J227" i="15"/>
  <c r="I227" i="15"/>
  <c r="J226" i="15"/>
  <c r="I226" i="15"/>
  <c r="J225" i="15"/>
  <c r="I225" i="15"/>
  <c r="J224" i="15"/>
  <c r="I224" i="15"/>
  <c r="J223" i="15"/>
  <c r="I223" i="15"/>
  <c r="J222" i="15"/>
  <c r="I222" i="15"/>
  <c r="J221" i="15"/>
  <c r="I221" i="15"/>
  <c r="J220" i="15"/>
  <c r="I220" i="15"/>
  <c r="J219" i="15"/>
  <c r="I219" i="15"/>
  <c r="J218" i="15"/>
  <c r="I218" i="15"/>
  <c r="J217" i="15"/>
  <c r="I217" i="15"/>
  <c r="J216" i="15"/>
  <c r="I216" i="15"/>
  <c r="J215" i="15"/>
  <c r="I215" i="15"/>
  <c r="J214" i="15"/>
  <c r="I214" i="15"/>
  <c r="J213" i="15"/>
  <c r="I213" i="15"/>
  <c r="J212" i="15"/>
  <c r="I212" i="15"/>
  <c r="J211" i="15"/>
  <c r="I211" i="15"/>
  <c r="J210" i="15"/>
  <c r="I210" i="15"/>
  <c r="J209" i="15"/>
  <c r="I209" i="15"/>
  <c r="J208" i="15"/>
  <c r="I208" i="15"/>
  <c r="J207" i="15"/>
  <c r="I207" i="15"/>
  <c r="J206" i="15"/>
  <c r="I206" i="15"/>
  <c r="J205" i="15"/>
  <c r="I205" i="15"/>
  <c r="J204" i="15"/>
  <c r="I204" i="15"/>
  <c r="J203" i="15"/>
  <c r="I203" i="15"/>
  <c r="J202" i="15"/>
  <c r="I202" i="15"/>
  <c r="J201" i="15"/>
  <c r="I201" i="15"/>
  <c r="J200" i="15"/>
  <c r="I200" i="15"/>
  <c r="J199" i="15"/>
  <c r="I199" i="15"/>
  <c r="J198" i="15"/>
  <c r="I198" i="15"/>
  <c r="J197" i="15"/>
  <c r="I197" i="15"/>
  <c r="J196" i="15"/>
  <c r="I196" i="15"/>
  <c r="J195" i="15"/>
  <c r="I195" i="15"/>
  <c r="J194" i="15"/>
  <c r="I194" i="15"/>
  <c r="J193" i="15"/>
  <c r="I193" i="15"/>
  <c r="J192" i="15"/>
  <c r="I192" i="15"/>
  <c r="J191" i="15"/>
  <c r="I191" i="15"/>
  <c r="J190" i="15"/>
  <c r="I190" i="15"/>
  <c r="J189" i="15"/>
  <c r="I189" i="15"/>
  <c r="J188" i="15"/>
  <c r="I188" i="15"/>
  <c r="J187" i="15"/>
  <c r="I187" i="15"/>
  <c r="J186" i="15"/>
  <c r="I186" i="15"/>
  <c r="J185" i="15"/>
  <c r="I185" i="15"/>
  <c r="J184" i="15"/>
  <c r="I184" i="15"/>
  <c r="J183" i="15"/>
  <c r="I183" i="15"/>
  <c r="J182" i="15"/>
  <c r="I182" i="15"/>
  <c r="J181" i="15"/>
  <c r="I181" i="15"/>
  <c r="J180" i="15"/>
  <c r="I180" i="15"/>
  <c r="J179" i="15"/>
  <c r="I179" i="15"/>
  <c r="J178" i="15"/>
  <c r="I178" i="15"/>
  <c r="J177" i="15"/>
  <c r="I177" i="15"/>
  <c r="J176" i="15"/>
  <c r="I176" i="15"/>
  <c r="J175" i="15"/>
  <c r="I175" i="15"/>
  <c r="J174" i="15"/>
  <c r="I174" i="15"/>
  <c r="J173" i="15"/>
  <c r="I173" i="15"/>
  <c r="J172" i="15"/>
  <c r="I172" i="15"/>
  <c r="J171" i="15"/>
  <c r="I171" i="15"/>
  <c r="J170" i="15"/>
  <c r="I170" i="15"/>
  <c r="J169" i="15"/>
  <c r="I169" i="15"/>
  <c r="J168" i="15"/>
  <c r="I168" i="15"/>
  <c r="J167" i="15"/>
  <c r="I167" i="15"/>
  <c r="J166" i="15"/>
  <c r="I166" i="15"/>
  <c r="J165" i="15"/>
  <c r="I165" i="15"/>
  <c r="L11" i="16"/>
  <c r="L10" i="16"/>
  <c r="L8" i="16"/>
  <c r="L7" i="16"/>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I219" i="10"/>
  <c r="I218" i="10"/>
  <c r="I217" i="10"/>
  <c r="I216" i="10"/>
  <c r="I215" i="10"/>
  <c r="I214" i="10"/>
  <c r="I213" i="10"/>
  <c r="I212" i="10"/>
  <c r="I211" i="10"/>
  <c r="I210" i="10"/>
  <c r="I209" i="10"/>
  <c r="I208" i="10"/>
  <c r="I207" i="10"/>
  <c r="I206" i="10"/>
  <c r="I205" i="10"/>
  <c r="I204" i="10"/>
  <c r="I203" i="10"/>
  <c r="I202" i="10"/>
  <c r="I201" i="10"/>
  <c r="I200" i="10"/>
  <c r="I199" i="10"/>
  <c r="I198" i="10"/>
  <c r="I197" i="10"/>
  <c r="I196" i="10"/>
  <c r="I195" i="10"/>
  <c r="I194" i="10"/>
  <c r="I193" i="10"/>
  <c r="I192" i="10"/>
  <c r="I191" i="10"/>
  <c r="I190" i="10"/>
  <c r="I189" i="10"/>
  <c r="I188" i="10"/>
  <c r="I187" i="10"/>
  <c r="I186" i="10"/>
  <c r="I185" i="10"/>
  <c r="I184" i="10"/>
  <c r="I183" i="10"/>
  <c r="I182" i="10"/>
  <c r="I181" i="10"/>
  <c r="I180" i="10"/>
  <c r="I179" i="10"/>
  <c r="I178" i="10"/>
  <c r="I177" i="10"/>
  <c r="I176" i="10"/>
  <c r="I175" i="10"/>
  <c r="I174" i="10"/>
  <c r="I173" i="10"/>
  <c r="I172" i="10"/>
  <c r="I171" i="10"/>
  <c r="I170" i="10"/>
  <c r="I169" i="10"/>
  <c r="I168" i="10"/>
  <c r="I167" i="10"/>
  <c r="I166" i="10"/>
  <c r="I165" i="10"/>
  <c r="I164" i="10"/>
  <c r="I163" i="10"/>
  <c r="I162" i="10"/>
  <c r="I161" i="10"/>
  <c r="I160" i="10"/>
  <c r="I159" i="10"/>
  <c r="I158" i="10"/>
  <c r="I157" i="10"/>
  <c r="I156" i="10"/>
  <c r="I155" i="10"/>
  <c r="I154" i="10"/>
  <c r="I153" i="10"/>
  <c r="I152" i="10"/>
  <c r="I151" i="10"/>
  <c r="I150" i="10"/>
  <c r="I149" i="10"/>
  <c r="I148" i="10"/>
  <c r="I147" i="10"/>
  <c r="I146" i="10"/>
  <c r="I145" i="10"/>
  <c r="I144" i="10"/>
  <c r="I143" i="10"/>
  <c r="I142" i="10"/>
  <c r="I141" i="10"/>
  <c r="I140" i="10"/>
  <c r="I139" i="10"/>
  <c r="I138" i="10"/>
  <c r="I137" i="10"/>
  <c r="I136" i="10"/>
  <c r="I135" i="10"/>
  <c r="I134" i="10"/>
  <c r="I133" i="10"/>
  <c r="I132" i="10"/>
  <c r="I131" i="10"/>
  <c r="I130" i="10"/>
  <c r="I129" i="10"/>
  <c r="I128" i="10"/>
  <c r="I127" i="10"/>
  <c r="I126" i="10"/>
  <c r="I125" i="10"/>
  <c r="I124" i="10"/>
  <c r="I123" i="10"/>
  <c r="I122" i="10"/>
  <c r="I121" i="10"/>
  <c r="I120" i="10"/>
  <c r="I119" i="10"/>
  <c r="I118" i="10"/>
  <c r="I117" i="10"/>
  <c r="I116" i="10"/>
  <c r="I115" i="10"/>
  <c r="I114" i="10"/>
  <c r="I113" i="10"/>
  <c r="I112" i="10"/>
  <c r="I111" i="10"/>
  <c r="I110" i="10"/>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370" i="10"/>
  <c r="I369" i="10"/>
  <c r="I368" i="10"/>
  <c r="I367" i="10"/>
  <c r="I366" i="10"/>
  <c r="I365" i="10"/>
  <c r="I364" i="10"/>
  <c r="I363" i="10"/>
  <c r="I362" i="10"/>
  <c r="I361" i="10"/>
  <c r="I360" i="10"/>
  <c r="I359" i="10"/>
  <c r="I358" i="10"/>
  <c r="I357" i="10"/>
  <c r="I356" i="10"/>
  <c r="I355" i="10"/>
  <c r="I354" i="10"/>
  <c r="I353" i="10"/>
  <c r="I352" i="10"/>
  <c r="I351" i="10"/>
  <c r="I350" i="10"/>
  <c r="I349" i="10"/>
  <c r="I348" i="10"/>
  <c r="I347" i="10"/>
  <c r="I346" i="10"/>
  <c r="I345" i="10"/>
  <c r="I344" i="10"/>
  <c r="I343" i="10"/>
  <c r="I342" i="10"/>
  <c r="I341" i="10"/>
  <c r="I340" i="10"/>
  <c r="I339" i="10"/>
  <c r="I338" i="10"/>
  <c r="I337" i="10"/>
  <c r="I336" i="10"/>
  <c r="I335" i="10"/>
  <c r="I334" i="10"/>
  <c r="I333" i="10"/>
  <c r="I332" i="10"/>
  <c r="I331" i="10"/>
  <c r="I330" i="10"/>
  <c r="I329" i="10"/>
  <c r="I328" i="10"/>
  <c r="I327" i="10"/>
  <c r="I326" i="10"/>
  <c r="I325" i="10"/>
  <c r="I324" i="10"/>
  <c r="I323" i="10"/>
  <c r="I322" i="10"/>
  <c r="I321" i="10"/>
  <c r="I320" i="10"/>
  <c r="I319" i="10"/>
  <c r="I318" i="10"/>
  <c r="I317" i="10"/>
  <c r="I316" i="10"/>
  <c r="I315" i="10"/>
  <c r="I314" i="10"/>
  <c r="I313" i="10"/>
  <c r="I312" i="10"/>
  <c r="I311" i="10"/>
  <c r="I310" i="10"/>
  <c r="I309" i="10"/>
  <c r="I308" i="10"/>
  <c r="I307" i="10"/>
  <c r="I306" i="10"/>
  <c r="I305" i="10"/>
  <c r="I304" i="10"/>
  <c r="I303" i="10"/>
  <c r="I302" i="10"/>
  <c r="I301" i="10"/>
  <c r="I300" i="10"/>
  <c r="I299" i="10"/>
  <c r="I298" i="10"/>
  <c r="I297" i="10"/>
  <c r="I296" i="10"/>
  <c r="I295" i="10"/>
  <c r="I294" i="10"/>
  <c r="I293" i="10"/>
  <c r="I292" i="10"/>
  <c r="I291" i="10"/>
  <c r="I290" i="10"/>
  <c r="I289" i="10"/>
  <c r="I288" i="10"/>
  <c r="I287" i="10"/>
  <c r="I286" i="10"/>
  <c r="I285" i="10"/>
  <c r="I284" i="10"/>
  <c r="I283" i="10"/>
  <c r="I282" i="10"/>
  <c r="I281" i="10"/>
  <c r="I280" i="10"/>
  <c r="I279" i="10"/>
  <c r="I278" i="10"/>
  <c r="I277" i="10"/>
  <c r="I276" i="10"/>
  <c r="I275" i="10"/>
  <c r="I274" i="10"/>
  <c r="I273" i="10"/>
  <c r="I272" i="10"/>
  <c r="I271" i="10"/>
  <c r="I270" i="10"/>
  <c r="I269" i="10"/>
  <c r="I268" i="10"/>
  <c r="I267" i="10"/>
  <c r="I266" i="10"/>
  <c r="I265" i="10"/>
  <c r="I264" i="10"/>
  <c r="I263" i="10"/>
  <c r="I262" i="10"/>
  <c r="I261" i="10"/>
  <c r="I260" i="10"/>
  <c r="I259" i="10"/>
  <c r="I258" i="10"/>
  <c r="I257" i="10"/>
  <c r="I256" i="10"/>
  <c r="I255" i="10"/>
  <c r="I254" i="10"/>
  <c r="I253" i="10"/>
  <c r="I252" i="10"/>
  <c r="I251" i="10"/>
  <c r="I250" i="10"/>
  <c r="I249" i="10"/>
  <c r="I248" i="10"/>
  <c r="I247" i="10"/>
  <c r="I246" i="10"/>
  <c r="I245" i="10"/>
  <c r="I244" i="10"/>
  <c r="I243" i="10"/>
  <c r="I242" i="10"/>
  <c r="I241" i="10"/>
  <c r="I240" i="10"/>
  <c r="I239" i="10"/>
  <c r="I238" i="10"/>
  <c r="I237" i="10"/>
  <c r="I236" i="10"/>
  <c r="I235" i="10"/>
  <c r="I234" i="10"/>
  <c r="I233" i="10"/>
  <c r="I232" i="10"/>
  <c r="I231" i="10"/>
  <c r="I230" i="10"/>
  <c r="I229" i="10"/>
  <c r="I228" i="10"/>
  <c r="I227" i="10"/>
  <c r="I226" i="10"/>
  <c r="I225" i="10"/>
  <c r="I224" i="10"/>
  <c r="I223" i="10"/>
  <c r="I222" i="10"/>
  <c r="I221" i="10"/>
  <c r="I220" i="10"/>
  <c r="H6" i="10"/>
  <c r="J164" i="15"/>
  <c r="I164" i="15"/>
  <c r="J163" i="15"/>
  <c r="I163" i="15"/>
  <c r="J162" i="15"/>
  <c r="I162" i="15"/>
  <c r="J161" i="15"/>
  <c r="I161" i="15"/>
  <c r="J160" i="15"/>
  <c r="I160" i="15"/>
  <c r="J159" i="15"/>
  <c r="I159" i="15"/>
  <c r="J158" i="15"/>
  <c r="I158" i="15"/>
  <c r="J157" i="15"/>
  <c r="I157" i="15"/>
  <c r="J156" i="15"/>
  <c r="I156" i="15"/>
  <c r="J155" i="15"/>
  <c r="I155" i="15"/>
  <c r="J154" i="15"/>
  <c r="I154" i="15"/>
  <c r="J153" i="15"/>
  <c r="I153" i="15"/>
  <c r="J152" i="15"/>
  <c r="I152" i="15"/>
  <c r="J151" i="15"/>
  <c r="I151" i="15"/>
  <c r="J150" i="15"/>
  <c r="I150" i="15"/>
  <c r="J149" i="15"/>
  <c r="I149" i="15"/>
  <c r="J148" i="15"/>
  <c r="I148" i="15"/>
  <c r="J147" i="15"/>
  <c r="I147" i="15"/>
  <c r="J146" i="15"/>
  <c r="I146" i="15"/>
  <c r="J145" i="15"/>
  <c r="I145" i="15"/>
  <c r="J144" i="15"/>
  <c r="I144" i="15"/>
  <c r="J143" i="15"/>
  <c r="I143" i="15"/>
  <c r="J142" i="15"/>
  <c r="I142" i="15"/>
  <c r="J141" i="15"/>
  <c r="I141" i="15"/>
  <c r="J140" i="15"/>
  <c r="I140" i="15"/>
  <c r="J139" i="15"/>
  <c r="I139" i="15"/>
  <c r="J138" i="15"/>
  <c r="I138" i="15"/>
  <c r="J137" i="15"/>
  <c r="I137" i="15"/>
  <c r="J136" i="15"/>
  <c r="I136" i="15"/>
  <c r="J135" i="15"/>
  <c r="I135" i="15"/>
  <c r="J134" i="15"/>
  <c r="I134" i="15"/>
  <c r="J133" i="15"/>
  <c r="I133" i="15"/>
  <c r="J132" i="15"/>
  <c r="I132" i="15"/>
  <c r="J131" i="15"/>
  <c r="I131" i="15"/>
  <c r="J130" i="15"/>
  <c r="I130" i="15"/>
  <c r="J129" i="15"/>
  <c r="I129" i="15"/>
  <c r="J128" i="15"/>
  <c r="I128" i="15"/>
  <c r="J127" i="15"/>
  <c r="I127" i="15"/>
  <c r="J126" i="15"/>
  <c r="I126" i="15"/>
  <c r="J125" i="15"/>
  <c r="I125" i="15"/>
  <c r="J124" i="15"/>
  <c r="I124" i="15"/>
  <c r="J123" i="15"/>
  <c r="I123" i="15"/>
  <c r="J122" i="15"/>
  <c r="I122" i="15"/>
  <c r="J121" i="15"/>
  <c r="I121" i="15"/>
  <c r="J120" i="15"/>
  <c r="I120" i="15"/>
  <c r="J119" i="15"/>
  <c r="I119" i="15"/>
  <c r="J118" i="15"/>
  <c r="I118" i="15"/>
  <c r="J117" i="15"/>
  <c r="I117" i="15"/>
  <c r="J116" i="15"/>
  <c r="I116" i="15"/>
  <c r="J115" i="15"/>
  <c r="I115" i="15"/>
  <c r="J114" i="15"/>
  <c r="I114" i="15"/>
  <c r="J113" i="15"/>
  <c r="I113" i="15"/>
  <c r="J112" i="15"/>
  <c r="I112" i="15"/>
  <c r="J111" i="15"/>
  <c r="I111" i="15"/>
  <c r="J110" i="15"/>
  <c r="I110" i="15"/>
  <c r="J109" i="15"/>
  <c r="I109" i="15"/>
  <c r="J108" i="15"/>
  <c r="I108" i="15"/>
  <c r="J107" i="15"/>
  <c r="I107" i="15"/>
  <c r="J106" i="15"/>
  <c r="I106" i="15"/>
  <c r="J105" i="15"/>
  <c r="I105" i="15"/>
  <c r="J104" i="15"/>
  <c r="I104" i="15"/>
  <c r="J103" i="15"/>
  <c r="I103" i="15"/>
  <c r="J102" i="15"/>
  <c r="I102" i="15"/>
  <c r="J101" i="15"/>
  <c r="I101" i="15"/>
  <c r="J100" i="15"/>
  <c r="I100" i="15"/>
  <c r="J99" i="15"/>
  <c r="I99" i="15"/>
  <c r="J98" i="15"/>
  <c r="I98" i="15"/>
  <c r="J97" i="15"/>
  <c r="I97" i="15"/>
  <c r="J96" i="15"/>
  <c r="I96" i="15"/>
  <c r="J95" i="15"/>
  <c r="I95" i="15"/>
  <c r="J94" i="15"/>
  <c r="I94" i="15"/>
  <c r="J93" i="15"/>
  <c r="I93" i="15"/>
  <c r="J92" i="15"/>
  <c r="I92" i="15"/>
  <c r="J91" i="15"/>
  <c r="I91" i="15"/>
  <c r="J90" i="15"/>
  <c r="I90" i="15"/>
  <c r="J85" i="15"/>
  <c r="I85" i="15"/>
  <c r="J89" i="15"/>
  <c r="I89" i="15"/>
  <c r="J88" i="15"/>
  <c r="I88" i="15"/>
  <c r="J87" i="15"/>
  <c r="I87" i="15"/>
  <c r="J86" i="15"/>
  <c r="I86" i="15"/>
  <c r="J84" i="15"/>
  <c r="I84" i="15"/>
  <c r="J83" i="15"/>
  <c r="I83" i="15"/>
  <c r="J82" i="15"/>
  <c r="I82" i="15"/>
  <c r="J81" i="15"/>
  <c r="I81" i="15"/>
  <c r="J80" i="15"/>
  <c r="I80" i="15"/>
  <c r="J79" i="15"/>
  <c r="I79" i="15"/>
  <c r="J78" i="15"/>
  <c r="I78" i="15"/>
  <c r="J77" i="15"/>
  <c r="I77" i="15"/>
  <c r="J76" i="15"/>
  <c r="I76" i="15"/>
  <c r="J75" i="15"/>
  <c r="I75" i="15"/>
  <c r="J74" i="15"/>
  <c r="I74" i="15"/>
  <c r="J73" i="15"/>
  <c r="I73" i="15"/>
  <c r="J72" i="15"/>
  <c r="I72" i="15"/>
  <c r="J71" i="15"/>
  <c r="I71" i="15"/>
  <c r="J70" i="15"/>
  <c r="I70" i="15"/>
  <c r="J58" i="15"/>
  <c r="I58" i="15"/>
  <c r="J51" i="15"/>
  <c r="I51" i="15"/>
  <c r="D20" i="13"/>
  <c r="I20" i="13"/>
  <c r="M20" i="13"/>
  <c r="G20" i="13"/>
  <c r="L20" i="13"/>
  <c r="K20" i="13"/>
  <c r="J69" i="15"/>
  <c r="I69" i="15"/>
  <c r="J68" i="15"/>
  <c r="I68" i="15"/>
  <c r="J67" i="15"/>
  <c r="I67" i="15"/>
  <c r="J66" i="15"/>
  <c r="I66" i="15"/>
  <c r="J65" i="15"/>
  <c r="I65" i="15"/>
  <c r="J64" i="15"/>
  <c r="I64" i="15"/>
  <c r="J63" i="15"/>
  <c r="I63" i="15"/>
  <c r="J62" i="15"/>
  <c r="I62" i="15"/>
  <c r="J61" i="15"/>
  <c r="I61" i="15"/>
  <c r="J60" i="15"/>
  <c r="I60" i="15"/>
  <c r="J59" i="15"/>
  <c r="I59" i="15"/>
  <c r="J57" i="15"/>
  <c r="I57" i="15"/>
  <c r="J56" i="15"/>
  <c r="I56" i="15"/>
  <c r="J55" i="15"/>
  <c r="I55" i="15"/>
  <c r="J54" i="15"/>
  <c r="I54" i="15"/>
  <c r="J53" i="15"/>
  <c r="I53" i="15"/>
  <c r="J52" i="15"/>
  <c r="I52" i="15"/>
  <c r="J50" i="15"/>
  <c r="I50" i="15"/>
  <c r="J49" i="15"/>
  <c r="I49" i="15"/>
  <c r="J48" i="15"/>
  <c r="I48" i="15"/>
  <c r="J47" i="15"/>
  <c r="I47" i="15"/>
  <c r="J46" i="15"/>
  <c r="I46" i="15"/>
  <c r="J45" i="15"/>
  <c r="I45" i="15"/>
  <c r="J44" i="15"/>
  <c r="I44" i="15"/>
  <c r="J43" i="15"/>
  <c r="I43" i="15"/>
  <c r="J42" i="15"/>
  <c r="I42" i="15"/>
  <c r="J41" i="15"/>
  <c r="I41" i="15"/>
  <c r="J40" i="15"/>
  <c r="I40" i="15"/>
  <c r="J39" i="15"/>
  <c r="I39" i="15"/>
  <c r="J38" i="15"/>
  <c r="I38" i="15"/>
  <c r="J37" i="15"/>
  <c r="I37" i="15"/>
  <c r="J36" i="15"/>
  <c r="I36" i="15"/>
  <c r="J35" i="15"/>
  <c r="I35" i="15"/>
  <c r="J34" i="15"/>
  <c r="I34" i="15"/>
  <c r="J33" i="15"/>
  <c r="I33" i="15"/>
  <c r="J32" i="15"/>
  <c r="I32" i="15"/>
  <c r="J31" i="15"/>
  <c r="I31" i="15"/>
  <c r="J30" i="15"/>
  <c r="I30" i="15"/>
  <c r="J29" i="15"/>
  <c r="I29" i="15"/>
  <c r="J28" i="15"/>
  <c r="I28" i="15"/>
  <c r="J27" i="15"/>
  <c r="I27" i="15"/>
  <c r="J26" i="15"/>
  <c r="I26" i="15"/>
  <c r="J25" i="15"/>
  <c r="I25" i="15"/>
  <c r="J24" i="15"/>
  <c r="I24" i="15"/>
  <c r="J23" i="15"/>
  <c r="I23" i="15"/>
  <c r="J22" i="15"/>
  <c r="I22" i="15"/>
  <c r="J21" i="15"/>
  <c r="I21" i="15"/>
  <c r="J20" i="15"/>
  <c r="I20" i="15"/>
  <c r="J19" i="15"/>
  <c r="I19" i="15"/>
  <c r="J18" i="15"/>
  <c r="I18" i="15"/>
  <c r="J17" i="15"/>
  <c r="I17" i="15"/>
  <c r="J16" i="15"/>
  <c r="I16" i="15"/>
  <c r="J15" i="15"/>
  <c r="I15" i="15"/>
  <c r="J14" i="15"/>
  <c r="I14" i="15"/>
  <c r="J13" i="15"/>
  <c r="I13" i="15"/>
  <c r="J12" i="15"/>
  <c r="I12" i="15"/>
  <c r="J11" i="15"/>
  <c r="I11" i="15"/>
  <c r="J10" i="15"/>
  <c r="I10" i="15"/>
  <c r="J9" i="15"/>
  <c r="I9" i="15"/>
  <c r="J8" i="15"/>
  <c r="I8" i="15"/>
  <c r="J7" i="15"/>
  <c r="I7" i="15"/>
  <c r="C11" i="5"/>
  <c r="C21" i="5"/>
  <c r="D8" i="13"/>
  <c r="I8" i="13"/>
  <c r="M8" i="13"/>
  <c r="G8" i="13"/>
  <c r="L8" i="13"/>
  <c r="K8" i="13"/>
  <c r="I7" i="13"/>
  <c r="M7" i="13"/>
  <c r="L7" i="13"/>
  <c r="K7" i="13"/>
  <c r="D7" i="13"/>
  <c r="G7" i="13"/>
  <c r="I5" i="13"/>
  <c r="M5" i="13"/>
  <c r="L5" i="13"/>
  <c r="K5" i="13"/>
  <c r="I6" i="13"/>
  <c r="D6" i="13"/>
  <c r="G6" i="13"/>
  <c r="G5" i="13"/>
  <c r="D5" i="13"/>
  <c r="H35" i="12"/>
  <c r="G35" i="12"/>
  <c r="K33" i="12"/>
  <c r="E7" i="12"/>
  <c r="E19" i="12"/>
  <c r="J20" i="12"/>
  <c r="G33" i="12"/>
  <c r="I31" i="12"/>
  <c r="G31" i="12"/>
  <c r="G29" i="12"/>
  <c r="B19" i="12"/>
  <c r="D6" i="11"/>
  <c r="N51" i="11"/>
  <c r="Q51" i="11"/>
  <c r="P51" i="11"/>
  <c r="O51" i="11"/>
  <c r="N50" i="11"/>
  <c r="Q50" i="11"/>
  <c r="P50" i="11"/>
  <c r="O50" i="11"/>
  <c r="N49" i="11"/>
  <c r="Q49" i="11"/>
  <c r="P49" i="11"/>
  <c r="O49" i="11"/>
  <c r="N48" i="11"/>
  <c r="Q48" i="11"/>
  <c r="P48" i="11"/>
  <c r="O48" i="11"/>
  <c r="N47" i="11"/>
  <c r="Q47" i="11"/>
  <c r="P47" i="11"/>
  <c r="O47" i="11"/>
  <c r="N46" i="11"/>
  <c r="Q46" i="11"/>
  <c r="P46" i="11"/>
  <c r="O46" i="11"/>
  <c r="N45" i="11"/>
  <c r="Q45" i="11"/>
  <c r="P45" i="11"/>
  <c r="O45" i="11"/>
  <c r="D45" i="11"/>
  <c r="J45" i="11"/>
  <c r="K45" i="11"/>
  <c r="F3" i="11"/>
  <c r="E45" i="11"/>
  <c r="G45" i="11"/>
  <c r="F45" i="11"/>
  <c r="N44" i="11"/>
  <c r="Q44" i="11"/>
  <c r="P44" i="11"/>
  <c r="O44" i="11"/>
  <c r="D44" i="11"/>
  <c r="J44" i="11"/>
  <c r="K44" i="11"/>
  <c r="E44" i="11"/>
  <c r="G44" i="11"/>
  <c r="F44" i="11"/>
  <c r="N43" i="11"/>
  <c r="Q43" i="11"/>
  <c r="P43" i="11"/>
  <c r="O43" i="11"/>
  <c r="N42" i="11"/>
  <c r="Q42" i="11"/>
  <c r="P42" i="11"/>
  <c r="O42" i="11"/>
  <c r="N41" i="11"/>
  <c r="Q41" i="11"/>
  <c r="P41" i="11"/>
  <c r="O41" i="11"/>
  <c r="D41" i="11"/>
  <c r="J41" i="11"/>
  <c r="K41" i="11"/>
  <c r="E41" i="11"/>
  <c r="G41" i="11"/>
  <c r="F41" i="11"/>
  <c r="N40" i="11"/>
  <c r="Q40" i="11"/>
  <c r="P40" i="11"/>
  <c r="O40" i="11"/>
  <c r="D40" i="11"/>
  <c r="J40" i="11"/>
  <c r="K40" i="11"/>
  <c r="E40" i="11"/>
  <c r="G40" i="11"/>
  <c r="F40" i="11"/>
  <c r="N39" i="11"/>
  <c r="Q39" i="11"/>
  <c r="P39" i="11"/>
  <c r="O39" i="11"/>
  <c r="N38" i="11"/>
  <c r="Q38" i="11"/>
  <c r="P38" i="11"/>
  <c r="O38" i="11"/>
  <c r="D38" i="11"/>
  <c r="J38" i="11"/>
  <c r="K38" i="11"/>
  <c r="E38" i="11"/>
  <c r="G38" i="11"/>
  <c r="F38" i="11"/>
  <c r="N37" i="11"/>
  <c r="Q37" i="11"/>
  <c r="P37" i="11"/>
  <c r="O37" i="11"/>
  <c r="D37" i="11"/>
  <c r="J37" i="11"/>
  <c r="K37" i="11"/>
  <c r="E37" i="11"/>
  <c r="G37" i="11"/>
  <c r="F37" i="11"/>
  <c r="N36" i="11"/>
  <c r="Q36" i="11"/>
  <c r="P36" i="11"/>
  <c r="O36" i="11"/>
  <c r="N35" i="11"/>
  <c r="Q35" i="11"/>
  <c r="P35" i="11"/>
  <c r="O35" i="11"/>
  <c r="N34" i="11"/>
  <c r="Q34" i="11"/>
  <c r="P34" i="11"/>
  <c r="O34" i="11"/>
  <c r="N33" i="11"/>
  <c r="Q33" i="11"/>
  <c r="P33" i="11"/>
  <c r="O33" i="11"/>
  <c r="N32" i="11"/>
  <c r="Q32" i="11"/>
  <c r="P32" i="11"/>
  <c r="O32" i="11"/>
  <c r="K32" i="11"/>
  <c r="J32" i="11"/>
  <c r="N31" i="11"/>
  <c r="Q31" i="11"/>
  <c r="P31" i="11"/>
  <c r="O31" i="11"/>
  <c r="N30" i="11"/>
  <c r="Q30" i="11"/>
  <c r="P30" i="11"/>
  <c r="O30" i="11"/>
  <c r="K30" i="11"/>
  <c r="J30" i="11"/>
  <c r="N29" i="11"/>
  <c r="Q29" i="11"/>
  <c r="P29" i="11"/>
  <c r="O29" i="11"/>
  <c r="N28" i="11"/>
  <c r="Q28" i="11"/>
  <c r="P28" i="11"/>
  <c r="O28" i="11"/>
  <c r="K28" i="11"/>
  <c r="J28" i="11"/>
  <c r="N27" i="11"/>
  <c r="Q27" i="11"/>
  <c r="P27" i="11"/>
  <c r="O27" i="11"/>
  <c r="N26" i="11"/>
  <c r="Q26" i="11"/>
  <c r="P26" i="11"/>
  <c r="O26" i="11"/>
  <c r="G22" i="11"/>
  <c r="I26" i="11"/>
  <c r="N25" i="11"/>
  <c r="Q25" i="11"/>
  <c r="P25" i="11"/>
  <c r="O25" i="11"/>
  <c r="N24" i="11"/>
  <c r="Q24" i="11"/>
  <c r="P24" i="11"/>
  <c r="O24" i="11"/>
  <c r="I24" i="11"/>
  <c r="G24" i="11"/>
  <c r="N23" i="11"/>
  <c r="Q23" i="11"/>
  <c r="P23" i="11"/>
  <c r="O23" i="11"/>
  <c r="N22" i="11"/>
  <c r="Q22" i="11"/>
  <c r="P22" i="11"/>
  <c r="O22" i="11"/>
  <c r="N21" i="11"/>
  <c r="Q21" i="11"/>
  <c r="P21" i="11"/>
  <c r="O21" i="11"/>
  <c r="D21" i="11"/>
  <c r="J21" i="11"/>
  <c r="K21" i="11"/>
  <c r="E21" i="11"/>
  <c r="G21" i="11"/>
  <c r="F21" i="11"/>
  <c r="N20" i="11"/>
  <c r="Q20" i="11"/>
  <c r="P20" i="11"/>
  <c r="O20" i="11"/>
  <c r="D20" i="11"/>
  <c r="J20" i="11"/>
  <c r="K20" i="11"/>
  <c r="E20" i="11"/>
  <c r="G20" i="11"/>
  <c r="F20" i="11"/>
  <c r="N19" i="11"/>
  <c r="Q19" i="11"/>
  <c r="P19" i="11"/>
  <c r="O19" i="11"/>
  <c r="N18" i="11"/>
  <c r="Q18" i="11"/>
  <c r="P18" i="11"/>
  <c r="O18" i="11"/>
  <c r="N17" i="11"/>
  <c r="Q17" i="11"/>
  <c r="P17" i="11"/>
  <c r="O17" i="11"/>
  <c r="N16" i="11"/>
  <c r="Q16" i="11"/>
  <c r="P16" i="11"/>
  <c r="O16" i="11"/>
  <c r="N15" i="11"/>
  <c r="Q15" i="11"/>
  <c r="P15" i="11"/>
  <c r="O15" i="11"/>
  <c r="N14" i="11"/>
  <c r="Q14" i="11"/>
  <c r="P14" i="11"/>
  <c r="O14" i="11"/>
  <c r="N13" i="11"/>
  <c r="Q13" i="11"/>
  <c r="P13" i="11"/>
  <c r="O13" i="11"/>
  <c r="N12" i="11"/>
  <c r="Q12" i="11"/>
  <c r="P12" i="11"/>
  <c r="O12" i="11"/>
  <c r="P9" i="11"/>
  <c r="P6" i="11"/>
  <c r="B6" i="11"/>
  <c r="H5" i="11"/>
  <c r="L4" i="11"/>
  <c r="D4" i="11"/>
  <c r="J3" i="11"/>
  <c r="B2" i="11"/>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6"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7" i="10"/>
  <c r="F8" i="10"/>
  <c r="F9" i="10"/>
  <c r="F10" i="10"/>
  <c r="F11" i="10"/>
  <c r="F12" i="10"/>
  <c r="F13" i="10"/>
  <c r="F14" i="10"/>
  <c r="F15" i="10"/>
  <c r="F16" i="10"/>
  <c r="F17" i="10"/>
  <c r="F18" i="10"/>
  <c r="F19" i="10"/>
  <c r="F20" i="10"/>
  <c r="F21" i="10"/>
  <c r="F22" i="10"/>
  <c r="F23" i="10"/>
  <c r="F24" i="10"/>
  <c r="F25" i="10"/>
  <c r="F26" i="10"/>
  <c r="F27" i="10"/>
  <c r="F28" i="10"/>
  <c r="F6" i="10"/>
  <c r="D370"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6"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11" i="9"/>
  <c r="I6" i="9"/>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16" i="8"/>
  <c r="B11" i="8"/>
  <c r="I6" i="8"/>
  <c r="C32" i="6"/>
  <c r="K32" i="6"/>
  <c r="U53" i="6"/>
  <c r="S48" i="6"/>
  <c r="S53" i="6"/>
  <c r="K48" i="6"/>
  <c r="L53" i="6"/>
  <c r="K53" i="6"/>
  <c r="G48" i="6"/>
  <c r="H53" i="6"/>
  <c r="G53" i="6"/>
  <c r="S52" i="6"/>
  <c r="M52" i="6"/>
  <c r="I52" i="6"/>
  <c r="E52" i="6"/>
  <c r="J15" i="6"/>
  <c r="L15" i="6"/>
  <c r="Q15" i="6"/>
  <c r="S51" i="6"/>
  <c r="Q51" i="6"/>
  <c r="O51" i="6"/>
  <c r="I48" i="6"/>
  <c r="K47" i="6"/>
  <c r="K51" i="6"/>
  <c r="Q48" i="6"/>
  <c r="O48" i="6"/>
  <c r="M48" i="6"/>
  <c r="E48" i="6"/>
  <c r="S47" i="6"/>
  <c r="Q47" i="6"/>
  <c r="O47" i="6"/>
  <c r="M47" i="6"/>
  <c r="I47" i="6"/>
  <c r="G47" i="6"/>
  <c r="E47" i="6"/>
  <c r="J41" i="6"/>
  <c r="I41" i="6"/>
  <c r="E41" i="6"/>
  <c r="K34" i="6"/>
  <c r="B34" i="6"/>
  <c r="F27" i="6"/>
  <c r="B28" i="6"/>
  <c r="J27" i="6"/>
  <c r="G27" i="6"/>
  <c r="B27" i="6"/>
  <c r="J26" i="6"/>
  <c r="Q17" i="6"/>
  <c r="J19" i="6"/>
  <c r="U17" i="6"/>
  <c r="J17" i="6"/>
  <c r="P10" i="6"/>
  <c r="O7" i="6"/>
  <c r="C15" i="5"/>
  <c r="C14" i="5"/>
  <c r="C19" i="5"/>
  <c r="C17" i="5"/>
  <c r="C16" i="5"/>
  <c r="C25" i="5"/>
  <c r="C24" i="5"/>
  <c r="C23" i="5"/>
  <c r="C22" i="5"/>
  <c r="C10" i="5"/>
  <c r="C20" i="5"/>
  <c r="C13" i="5"/>
  <c r="C12" i="5"/>
  <c r="C9" i="5"/>
  <c r="C8" i="5"/>
  <c r="C7" i="5"/>
  <c r="D5" i="2"/>
  <c r="E5" i="2"/>
  <c r="F5" i="2"/>
  <c r="G5" i="2"/>
  <c r="H5" i="2"/>
  <c r="I5" i="2"/>
  <c r="J5" i="2"/>
  <c r="K5" i="2"/>
  <c r="L5" i="2"/>
  <c r="M5" i="2"/>
  <c r="N5" i="2"/>
  <c r="N6" i="2"/>
  <c r="M6" i="2"/>
  <c r="L6" i="2"/>
  <c r="K6" i="2"/>
  <c r="J6" i="2"/>
  <c r="I6" i="2"/>
  <c r="H6" i="2"/>
  <c r="G6" i="2"/>
  <c r="F6" i="2"/>
  <c r="E6" i="2"/>
  <c r="D6" i="2"/>
  <c r="C6" i="2"/>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C18" i="23"/>
  <c r="D18" i="23"/>
  <c r="E18" i="23"/>
  <c r="F18" i="23"/>
  <c r="G18" i="23"/>
  <c r="H18" i="23"/>
  <c r="I18" i="23"/>
  <c r="K18" i="23"/>
</calcChain>
</file>

<file path=xl/comments1.xml><?xml version="1.0" encoding="utf-8"?>
<comments xmlns="http://schemas.openxmlformats.org/spreadsheetml/2006/main">
  <authors>
    <author>SCALCO François</author>
  </authors>
  <commentList>
    <comment ref="G7" authorId="0">
      <text>
        <r>
          <rPr>
            <sz val="8"/>
            <color indexed="81"/>
            <rFont val="Tahoma"/>
            <family val="2"/>
          </rPr>
          <t xml:space="preserve">Saisir la date (jj/mm/aa).
</t>
        </r>
      </text>
    </comment>
    <comment ref="C25" authorId="0">
      <text>
        <r>
          <rPr>
            <sz val="8"/>
            <color indexed="81"/>
            <rFont val="Tahoma"/>
            <family val="2"/>
          </rPr>
          <t xml:space="preserve">Saisir la date (jj/mm/aa).
</t>
        </r>
      </text>
    </comment>
    <comment ref="J30" authorId="0">
      <text>
        <r>
          <rPr>
            <sz val="8"/>
            <color indexed="81"/>
            <rFont val="Tahoma"/>
            <family val="2"/>
          </rPr>
          <t>Saisir la date (jj/mm/aa).</t>
        </r>
        <r>
          <rPr>
            <sz val="8"/>
            <color indexed="81"/>
            <rFont val="Tahoma"/>
            <family val="2"/>
          </rPr>
          <t xml:space="preserve">
</t>
        </r>
      </text>
    </comment>
    <comment ref="M39" authorId="0">
      <text>
        <r>
          <rPr>
            <sz val="8"/>
            <color indexed="81"/>
            <rFont val="Tahoma"/>
            <family val="2"/>
          </rPr>
          <t xml:space="preserve">Saisir la date (jj/mm/aa).
</t>
        </r>
      </text>
    </comment>
  </commentList>
</comments>
</file>

<file path=xl/comments2.xml><?xml version="1.0" encoding="utf-8"?>
<comments xmlns="http://schemas.openxmlformats.org/spreadsheetml/2006/main">
  <authors>
    <author>SCALCO François</author>
  </authors>
  <commentList>
    <comment ref="G5" authorId="0">
      <text>
        <r>
          <rPr>
            <sz val="8"/>
            <color indexed="81"/>
            <rFont val="Tahoma"/>
            <family val="2"/>
          </rPr>
          <t xml:space="preserve">Noter une distance kilométrique utilisable.
</t>
        </r>
      </text>
    </comment>
    <comment ref="J5" authorId="0">
      <text>
        <r>
          <rPr>
            <sz val="8"/>
            <color indexed="81"/>
            <rFont val="Tahoma"/>
            <family val="2"/>
          </rPr>
          <t xml:space="preserve">Noter un temps (heure, minutes, secondes).
</t>
        </r>
      </text>
    </comment>
  </commentList>
</comments>
</file>

<file path=xl/sharedStrings.xml><?xml version="1.0" encoding="utf-8"?>
<sst xmlns="http://schemas.openxmlformats.org/spreadsheetml/2006/main" count="3973" uniqueCount="1497">
  <si>
    <r>
      <rPr>
        <b/>
        <sz val="11"/>
        <rFont val="Arial"/>
      </rPr>
      <t>Jour</t>
    </r>
  </si>
  <si>
    <r>
      <rPr>
        <sz val="11"/>
        <rFont val="Arial"/>
      </rPr>
      <t>lundi</t>
    </r>
  </si>
  <si>
    <r>
      <rPr>
        <sz val="11"/>
        <rFont val="Arial"/>
      </rPr>
      <t>mardi</t>
    </r>
  </si>
  <si>
    <r>
      <rPr>
        <sz val="11"/>
        <rFont val="Arial"/>
      </rPr>
      <t>mercredi</t>
    </r>
  </si>
  <si>
    <r>
      <rPr>
        <sz val="11"/>
        <rFont val="Arial"/>
      </rPr>
      <t>jeudi</t>
    </r>
  </si>
  <si>
    <r>
      <rPr>
        <sz val="11"/>
        <rFont val="Arial"/>
      </rPr>
      <t>vendredi</t>
    </r>
  </si>
  <si>
    <r>
      <rPr>
        <sz val="11"/>
        <rFont val="Arial"/>
      </rPr>
      <t>samedi</t>
    </r>
  </si>
  <si>
    <r>
      <rPr>
        <sz val="11"/>
        <rFont val="Arial"/>
      </rPr>
      <t>dimanche</t>
    </r>
  </si>
  <si>
    <r>
      <rPr>
        <b/>
        <sz val="11"/>
        <rFont val="Arial"/>
      </rPr>
      <t>Séances</t>
    </r>
  </si>
  <si>
    <r>
      <rPr>
        <sz val="11"/>
        <rFont val="Arial"/>
      </rPr>
      <t>repos</t>
    </r>
  </si>
  <si>
    <r>
      <rPr>
        <sz val="11"/>
        <rFont val="Arial"/>
      </rPr>
      <t>VMAC [1 ]</t>
    </r>
  </si>
  <si>
    <r>
      <rPr>
        <sz val="11"/>
        <rFont val="Arial"/>
      </rPr>
      <t>1h allure 1</t>
    </r>
  </si>
  <si>
    <r>
      <rPr>
        <sz val="11"/>
        <rFont val="Arial"/>
      </rPr>
      <t>spécifique 10km</t>
    </r>
  </si>
  <si>
    <r>
      <rPr>
        <sz val="11"/>
        <rFont val="Arial"/>
      </rPr>
      <t>spécifique Semi</t>
    </r>
  </si>
  <si>
    <r>
      <rPr>
        <sz val="11"/>
        <rFont val="Arial"/>
      </rPr>
      <t>1h30 allure 1</t>
    </r>
  </si>
  <si>
    <r>
      <rPr>
        <sz val="11"/>
        <rFont val="Arial"/>
      </rPr>
      <t>VMAC [2]</t>
    </r>
  </si>
  <si>
    <r>
      <rPr>
        <sz val="11"/>
        <rFont val="Arial"/>
      </rPr>
      <t>VMAC [3]</t>
    </r>
  </si>
  <si>
    <r>
      <rPr>
        <sz val="11"/>
        <rFont val="Arial"/>
      </rPr>
      <t>1h15 allure 1</t>
    </r>
  </si>
  <si>
    <r>
      <rPr>
        <sz val="11"/>
        <rFont val="Arial"/>
      </rPr>
      <t>VMAC [4]</t>
    </r>
  </si>
  <si>
    <r>
      <rPr>
        <sz val="11"/>
        <rFont val="Arial"/>
      </rPr>
      <t>1 hl 5 dont 30' allure 2</t>
    </r>
  </si>
  <si>
    <r>
      <rPr>
        <sz val="11"/>
        <rFont val="Arial"/>
      </rPr>
      <t>VMAC [5]</t>
    </r>
  </si>
  <si>
    <r>
      <rPr>
        <sz val="11"/>
        <rFont val="Arial"/>
      </rPr>
      <t>VMAC [6]</t>
    </r>
  </si>
  <si>
    <r>
      <rPr>
        <b/>
        <sz val="11"/>
        <rFont val="Arial"/>
      </rPr>
      <t>Cycles</t>
    </r>
  </si>
  <si>
    <r>
      <rPr>
        <sz val="11"/>
        <rFont val="Arial"/>
      </rPr>
      <t>S 1</t>
    </r>
  </si>
  <si>
    <r>
      <rPr>
        <sz val="11"/>
        <rFont val="Arial"/>
      </rPr>
      <t>S 2</t>
    </r>
  </si>
  <si>
    <r>
      <rPr>
        <sz val="11"/>
        <rFont val="Arial"/>
      </rPr>
      <t>S3</t>
    </r>
  </si>
  <si>
    <r>
      <rPr>
        <sz val="11"/>
        <rFont val="Arial"/>
      </rPr>
      <t>S 4 allégée</t>
    </r>
  </si>
  <si>
    <r>
      <rPr>
        <sz val="11"/>
        <rFont val="Arial"/>
      </rPr>
      <t>S 5</t>
    </r>
  </si>
  <si>
    <r>
      <rPr>
        <sz val="11"/>
        <rFont val="Arial"/>
      </rPr>
      <t>VMAC [7]</t>
    </r>
  </si>
  <si>
    <r>
      <rPr>
        <sz val="11"/>
        <rFont val="Arial"/>
      </rPr>
      <t>VMAC [8]</t>
    </r>
  </si>
  <si>
    <r>
      <rPr>
        <sz val="11"/>
        <rFont val="Arial"/>
      </rPr>
      <t>VMAC [9]</t>
    </r>
  </si>
  <si>
    <r>
      <rPr>
        <sz val="11"/>
        <rFont val="Arial"/>
      </rPr>
      <t>15x200m</t>
    </r>
  </si>
  <si>
    <r>
      <rPr>
        <sz val="11"/>
        <rFont val="Arial"/>
      </rPr>
      <t>45' + 10x100m rec : 100m</t>
    </r>
  </si>
  <si>
    <r>
      <rPr>
        <sz val="11"/>
        <rFont val="Arial"/>
      </rPr>
      <t>30' + 5x100m rec : 100m</t>
    </r>
  </si>
  <si>
    <r>
      <rPr>
        <sz val="11"/>
        <rFont val="Arial"/>
      </rPr>
      <t>S 6</t>
    </r>
  </si>
  <si>
    <r>
      <rPr>
        <sz val="11"/>
        <rFont val="Arial"/>
      </rPr>
      <t>S 7</t>
    </r>
  </si>
  <si>
    <r>
      <rPr>
        <sz val="11"/>
        <rFont val="Arial"/>
      </rPr>
      <t>S 8 allégée</t>
    </r>
  </si>
  <si>
    <r>
      <rPr>
        <sz val="11"/>
        <rFont val="Arial"/>
      </rPr>
      <t>S 9 allégée</t>
    </r>
  </si>
  <si>
    <r>
      <rPr>
        <b/>
        <sz val="11"/>
        <rFont val="Arial"/>
      </rPr>
      <t>VMAC</t>
    </r>
  </si>
  <si>
    <r>
      <rPr>
        <sz val="11"/>
        <rFont val="Arial"/>
      </rPr>
      <t>[1] 2*10*200m</t>
    </r>
  </si>
  <si>
    <r>
      <rPr>
        <sz val="11"/>
        <rFont val="Arial"/>
      </rPr>
      <t>[2] 3*7*200m</t>
    </r>
  </si>
  <si>
    <r>
      <rPr>
        <sz val="11"/>
        <rFont val="Arial"/>
      </rPr>
      <t>[3] 2*8*250m</t>
    </r>
  </si>
  <si>
    <r>
      <rPr>
        <sz val="11"/>
        <rFont val="Arial"/>
      </rPr>
      <t>[4]10*400m</t>
    </r>
  </si>
  <si>
    <r>
      <rPr>
        <sz val="11"/>
        <rFont val="Arial"/>
      </rPr>
      <t>[5] 2*10*150m</t>
    </r>
  </si>
  <si>
    <r>
      <rPr>
        <sz val="11"/>
        <rFont val="Arial"/>
      </rPr>
      <t>[6] 2*7*300m</t>
    </r>
  </si>
  <si>
    <r>
      <rPr>
        <sz val="11"/>
        <rFont val="Arial"/>
      </rPr>
      <t>[7] 3*6*150m</t>
    </r>
  </si>
  <si>
    <r>
      <rPr>
        <sz val="11"/>
        <rFont val="Arial"/>
      </rPr>
      <t>[8] 10*500m</t>
    </r>
  </si>
  <si>
    <r>
      <rPr>
        <sz val="11"/>
        <rFont val="Arial"/>
      </rPr>
      <t>[9] 2*10*200m</t>
    </r>
  </si>
  <si>
    <r>
      <rPr>
        <b/>
        <sz val="11"/>
        <rFont val="Arial"/>
      </rPr>
      <t>Spécifique 10km</t>
    </r>
  </si>
  <si>
    <r>
      <rPr>
        <sz val="11"/>
        <rFont val="Arial"/>
      </rPr>
      <t>7*800m</t>
    </r>
  </si>
  <si>
    <r>
      <rPr>
        <sz val="11"/>
        <rFont val="Arial"/>
      </rPr>
      <t>6*1000m</t>
    </r>
  </si>
  <si>
    <r>
      <rPr>
        <sz val="11"/>
        <rFont val="Arial"/>
      </rPr>
      <t>5*1200m</t>
    </r>
  </si>
  <si>
    <r>
      <rPr>
        <b/>
        <sz val="11"/>
        <rFont val="Arial"/>
      </rPr>
      <t>Spécifique Semi</t>
    </r>
  </si>
  <si>
    <r>
      <rPr>
        <sz val="11"/>
        <rFont val="Arial"/>
      </rPr>
      <t>3000-2*2000-1000</t>
    </r>
  </si>
  <si>
    <r>
      <rPr>
        <sz val="11"/>
        <rFont val="Arial"/>
      </rPr>
      <t>3000-2000-3000-1000</t>
    </r>
  </si>
  <si>
    <r>
      <rPr>
        <sz val="11"/>
        <rFont val="Arial"/>
      </rPr>
      <t>3*3000</t>
    </r>
  </si>
  <si>
    <r>
      <rPr>
        <sz val="11"/>
        <rFont val="Arial"/>
      </rPr>
      <t>4000-3000-2000-1000</t>
    </r>
  </si>
  <si>
    <r>
      <rPr>
        <sz val="11"/>
        <rFont val="Arial"/>
      </rPr>
      <t>4000-2000-4000</t>
    </r>
  </si>
  <si>
    <r>
      <rPr>
        <sz val="11"/>
        <rFont val="Arial"/>
      </rPr>
      <t>5000-3000-2000</t>
    </r>
  </si>
  <si>
    <r>
      <rPr>
        <sz val="11"/>
        <rFont val="Arial"/>
      </rPr>
      <t>2*5000m</t>
    </r>
  </si>
  <si>
    <r>
      <rPr>
        <sz val="11"/>
        <rFont val="Arial"/>
      </rPr>
      <t>3*3*1000</t>
    </r>
  </si>
  <si>
    <r>
      <rPr>
        <b/>
        <sz val="11"/>
        <rFont val="Arial"/>
      </rPr>
      <t>récups</t>
    </r>
  </si>
  <si>
    <r>
      <rPr>
        <sz val="11"/>
        <rFont val="Arial"/>
      </rPr>
      <t>4071'15"</t>
    </r>
  </si>
  <si>
    <r>
      <rPr>
        <sz val="11"/>
        <rFont val="Arial"/>
      </rPr>
      <t>5071'30"</t>
    </r>
  </si>
  <si>
    <r>
      <rPr>
        <sz val="11"/>
        <rFont val="Arial"/>
      </rPr>
      <t>171'30"</t>
    </r>
  </si>
  <si>
    <r>
      <rPr>
        <sz val="11"/>
        <rFont val="Arial"/>
      </rPr>
      <t>3071'</t>
    </r>
  </si>
  <si>
    <r>
      <rPr>
        <sz val="18"/>
        <rFont val="Times New Roman"/>
      </rPr>
      <t>r</t>
    </r>
  </si>
  <si>
    <r>
      <rPr>
        <sz val="11"/>
        <rFont val="Arial"/>
      </rPr>
      <t>1'20"</t>
    </r>
  </si>
  <si>
    <r>
      <rPr>
        <sz val="11"/>
        <rFont val="Arial"/>
      </rPr>
      <t>1'30"</t>
    </r>
  </si>
  <si>
    <r>
      <rPr>
        <sz val="11"/>
        <rFont val="Arial"/>
      </rPr>
      <t>1'40"</t>
    </r>
  </si>
  <si>
    <r>
      <rPr>
        <sz val="11"/>
        <rFont val="Arial"/>
      </rPr>
      <t>2'30"-2'-1'30"</t>
    </r>
  </si>
  <si>
    <r>
      <rPr>
        <sz val="11"/>
        <rFont val="Arial"/>
      </rPr>
      <t>2'45"</t>
    </r>
  </si>
  <si>
    <r>
      <rPr>
        <sz val="11"/>
        <rFont val="Arial"/>
      </rPr>
      <t>3'-2'45"-1'30"</t>
    </r>
  </si>
  <si>
    <r>
      <rPr>
        <sz val="11"/>
        <rFont val="Arial"/>
      </rPr>
      <t>3'</t>
    </r>
  </si>
  <si>
    <r>
      <rPr>
        <sz val="11"/>
        <rFont val="Arial"/>
      </rPr>
      <t>40-45"/1'15"</t>
    </r>
  </si>
  <si>
    <t>Date</t>
  </si>
  <si>
    <t>PLANIFICATION ANNUELLE</t>
  </si>
  <si>
    <t>TYPES DE PREPARATION</t>
  </si>
  <si>
    <t>Code</t>
  </si>
  <si>
    <t>Libellé</t>
  </si>
  <si>
    <t>Préparation générale</t>
  </si>
  <si>
    <t>Préparation spécifique</t>
  </si>
  <si>
    <t>Régénération</t>
  </si>
  <si>
    <t>Relâchement</t>
  </si>
  <si>
    <t>REL</t>
  </si>
  <si>
    <t>REG</t>
  </si>
  <si>
    <t>PS</t>
  </si>
  <si>
    <t>PG</t>
  </si>
  <si>
    <t>TYPES D'EPREUVES</t>
  </si>
  <si>
    <t>10 K</t>
  </si>
  <si>
    <t>SEMI</t>
  </si>
  <si>
    <t>MARATHON</t>
  </si>
  <si>
    <t>TRAIL COURT</t>
  </si>
  <si>
    <t>Distance</t>
  </si>
  <si>
    <t>21 K</t>
  </si>
  <si>
    <t>42 K</t>
  </si>
  <si>
    <t>15 K</t>
  </si>
  <si>
    <t>15-25 K</t>
  </si>
  <si>
    <t>TRAIL MOYEN</t>
  </si>
  <si>
    <t>40 K</t>
  </si>
  <si>
    <t>TRAIL LONG</t>
  </si>
  <si>
    <t>ULTRA TRAIL</t>
  </si>
  <si>
    <t>&gt; 100 K</t>
  </si>
  <si>
    <t>&lt; 100 K</t>
  </si>
  <si>
    <t>MOIS</t>
  </si>
  <si>
    <t>Type de préparation</t>
  </si>
  <si>
    <t>Compétitions principales</t>
  </si>
  <si>
    <t>Compétitions intermédiaires</t>
  </si>
  <si>
    <t>SEM</t>
  </si>
  <si>
    <t>MAR</t>
  </si>
  <si>
    <t>TRC</t>
  </si>
  <si>
    <t>TRM</t>
  </si>
  <si>
    <t>TRL</t>
  </si>
  <si>
    <t>10K</t>
  </si>
  <si>
    <t>UTR</t>
  </si>
  <si>
    <t>TRC x2</t>
  </si>
  <si>
    <t>DIFFICULTE</t>
  </si>
  <si>
    <t>Très technique</t>
  </si>
  <si>
    <t>Technique</t>
  </si>
  <si>
    <t>Normal</t>
  </si>
  <si>
    <t>DEFINITIONS</t>
  </si>
  <si>
    <t>EQUIVALENCES TRAIL - ROUTE</t>
  </si>
  <si>
    <t>FORMULE</t>
  </si>
  <si>
    <t>AGENDA DES COURSES 2015</t>
  </si>
  <si>
    <t>DATE</t>
  </si>
  <si>
    <t>NOM</t>
  </si>
  <si>
    <t>TYPE</t>
  </si>
  <si>
    <t>INSCRIPTION</t>
  </si>
  <si>
    <t>DEPARTEMENT</t>
  </si>
  <si>
    <t>DU DOMICILE</t>
  </si>
  <si>
    <t>LONGUEUR</t>
  </si>
  <si>
    <t>DATE LIMITE</t>
  </si>
  <si>
    <t>STATUT</t>
  </si>
  <si>
    <t>HEBERGEMENT</t>
  </si>
  <si>
    <t>EPREUVE</t>
  </si>
  <si>
    <t>O'XYRACE TRAIL BLANC JURASSIEN</t>
  </si>
  <si>
    <t>17 K</t>
  </si>
  <si>
    <t>39 - JURA</t>
  </si>
  <si>
    <t>Booléen</t>
  </si>
  <si>
    <t>Oui</t>
  </si>
  <si>
    <t>Non</t>
  </si>
  <si>
    <t>TRAIL DU VIEUX SEMUR</t>
  </si>
  <si>
    <t>NIGHT AND RUN</t>
  </si>
  <si>
    <t>TRAIL LA PEROUSE</t>
  </si>
  <si>
    <t>19 K</t>
  </si>
  <si>
    <t>26 K</t>
  </si>
  <si>
    <t>21 - COTE D'OR</t>
  </si>
  <si>
    <t>DEFI DU MYON</t>
  </si>
  <si>
    <t>22 K</t>
  </si>
  <si>
    <t>TRANSMONTAGNE</t>
  </si>
  <si>
    <t>30 K</t>
  </si>
  <si>
    <t>ALESIA TRAIL</t>
  </si>
  <si>
    <t xml:space="preserve">TRAIL DU BOUTON D'OR </t>
  </si>
  <si>
    <t>23 K</t>
  </si>
  <si>
    <t>34 K ou 25 K</t>
  </si>
  <si>
    <t>LA MADONE</t>
  </si>
  <si>
    <t>14 K</t>
  </si>
  <si>
    <t>TRAIL DE LA NUIT D'OR</t>
  </si>
  <si>
    <t>16 K</t>
  </si>
  <si>
    <t>MERSAULT BY NIGHT</t>
  </si>
  <si>
    <t>TRAIL DE BEAUMES DE VENISE</t>
  </si>
  <si>
    <t>LA TRAVERSEE DES DENTELLES</t>
  </si>
  <si>
    <t>TRAIL DU DONJON</t>
  </si>
  <si>
    <t>84 - VAUCLUSE</t>
  </si>
  <si>
    <t>MARATHON DE GENEVE</t>
  </si>
  <si>
    <t>MARATHON DU MONT SAINT-MICHEL</t>
  </si>
  <si>
    <t>PREPARATION SPECIFIQUE MARATHON</t>
  </si>
  <si>
    <t>LES ALLURES</t>
  </si>
  <si>
    <t>Allure</t>
  </si>
  <si>
    <t>% VMA</t>
  </si>
  <si>
    <t>Descriptif</t>
  </si>
  <si>
    <t>Footing lent</t>
  </si>
  <si>
    <t>Footing moyen (+1 km/h)</t>
  </si>
  <si>
    <t>La feuille ALLURES est importante car elle va permettre de calculer toutes sortes de paramètres.</t>
  </si>
  <si>
    <t>Faire un test de VMA et remplir les cases vertes</t>
  </si>
  <si>
    <r>
      <t xml:space="preserve">exemple de test de VMA : </t>
    </r>
    <r>
      <rPr>
        <sz val="10"/>
        <rFont val="Arial"/>
      </rPr>
      <t>courir 3 ou 4 x 1000m avec 3' de repos entre les courses.</t>
    </r>
  </si>
  <si>
    <t>Si vous ne pouvez faire plus de 2 X 1000m, notez le moins bon temps sur la 3ème ligne.</t>
  </si>
  <si>
    <t>min</t>
  </si>
  <si>
    <t>s</t>
  </si>
  <si>
    <t xml:space="preserve">moyenne temps réalisés  </t>
  </si>
  <si>
    <t>VMA</t>
  </si>
  <si>
    <t>Détermination du temps du soutien de la VMA</t>
  </si>
  <si>
    <t xml:space="preserve">Courir à la vitesse de la VMA le plus longtemps possible. </t>
  </si>
  <si>
    <t>Date à laquelle le test a été réalisé :</t>
  </si>
  <si>
    <r>
      <t xml:space="preserve">temps de soutien de la VMA </t>
    </r>
    <r>
      <rPr>
        <sz val="10"/>
        <rFont val="Arial"/>
      </rPr>
      <t xml:space="preserve">:         </t>
    </r>
  </si>
  <si>
    <t>Saisir votre fréquence cardiaque au repos :</t>
  </si>
  <si>
    <t>Fq cardiaque de repos</t>
  </si>
  <si>
    <t>pulsations /min</t>
  </si>
  <si>
    <t xml:space="preserve">  Date à laquelle le test a été réalisé.</t>
  </si>
  <si>
    <t>votre âge :</t>
  </si>
  <si>
    <t>Fq cardiaque théorique max</t>
  </si>
  <si>
    <t xml:space="preserve">  Fq cardiaque de réserve</t>
  </si>
  <si>
    <t>Estimation de la Fréquence Cardiaque Maximale réelle :</t>
  </si>
  <si>
    <t>A l'aide d'un cardiofréquencemètre et après 10 min d'échauffement, courir à plat ou mieux en côte environ 3 minutes au maximum de ses possibilités en terminant à l'arraché.</t>
  </si>
  <si>
    <t>Noter ici votre fréquence cardiaque maximale réelle :</t>
  </si>
  <si>
    <t>endurance</t>
  </si>
  <si>
    <t>résistance douce</t>
  </si>
  <si>
    <t>résistance dure</t>
  </si>
  <si>
    <t>fractionné</t>
  </si>
  <si>
    <t>passive</t>
  </si>
  <si>
    <t>active</t>
  </si>
  <si>
    <t>footing lent</t>
  </si>
  <si>
    <t>footing moyen</t>
  </si>
  <si>
    <t>footing rapide (seuil)</t>
  </si>
  <si>
    <t>intervalles</t>
  </si>
  <si>
    <t>vitesse (km/h)</t>
  </si>
  <si>
    <t>fq cardiaque cible</t>
  </si>
  <si>
    <t>Noter le kilométrage hebdomadaire moyen effectué.</t>
  </si>
  <si>
    <t>tps de course max</t>
  </si>
  <si>
    <t>plusieurs heures</t>
  </si>
  <si>
    <t>plus de             3 heures</t>
  </si>
  <si>
    <t>45'-1h</t>
  </si>
  <si>
    <t>6-9'</t>
  </si>
  <si>
    <t>30" au plus</t>
  </si>
  <si>
    <t>distances</t>
  </si>
  <si>
    <t>trails ultras</t>
  </si>
  <si>
    <t>marathon</t>
  </si>
  <si>
    <t>semi</t>
  </si>
  <si>
    <t>&lt;10km</t>
  </si>
  <si>
    <t>distances d'entraînement</t>
  </si>
  <si>
    <t>zones de travail</t>
  </si>
  <si>
    <t>(montre cardio)</t>
  </si>
  <si>
    <t>Rappels des tests et des VMA (à saisir)</t>
  </si>
  <si>
    <t>dates</t>
  </si>
  <si>
    <t>temps</t>
  </si>
  <si>
    <t>Tps de soutien</t>
  </si>
  <si>
    <t>DONNEES PERSONELLES</t>
  </si>
  <si>
    <t>ETAT CIVL</t>
  </si>
  <si>
    <t>NOM :</t>
  </si>
  <si>
    <t>CLECH</t>
  </si>
  <si>
    <t>PRENOM :</t>
  </si>
  <si>
    <t>BERTRAND</t>
  </si>
  <si>
    <t>SEXE (A PILES) :</t>
  </si>
  <si>
    <t>M</t>
  </si>
  <si>
    <t>AGE :</t>
  </si>
  <si>
    <t>DATE DE NAISSANCE :</t>
  </si>
  <si>
    <t>TAILLE :</t>
  </si>
  <si>
    <t>POIDS :</t>
  </si>
  <si>
    <t>DATE DE PESEE :</t>
  </si>
  <si>
    <t xml:space="preserve">RELEVE D'EVOLUTION DU POIDS </t>
  </si>
  <si>
    <t>Date de prise</t>
  </si>
  <si>
    <t>Poids</t>
  </si>
  <si>
    <t>GRAPHIQUE D'EVOLUTION</t>
  </si>
  <si>
    <t>POIDS IDEAL :</t>
  </si>
  <si>
    <t>MES ALLURES</t>
  </si>
  <si>
    <t>KILOMETRES PARCOURUS</t>
  </si>
  <si>
    <t>Semaine</t>
  </si>
  <si>
    <t xml:space="preserve">RELEVE DE LA DISTANCE PARCOURUE A L'ENTRAINEMENT </t>
  </si>
  <si>
    <t>Km</t>
  </si>
  <si>
    <t>Moyenne par
semaine</t>
  </si>
  <si>
    <t>Moyenne
par mois</t>
  </si>
  <si>
    <t>Moyenne
par an</t>
  </si>
  <si>
    <t>Mois</t>
  </si>
  <si>
    <t>Evolution par
semaine</t>
  </si>
  <si>
    <t>Evolution
par
mois</t>
  </si>
  <si>
    <t>Evolution
par
an</t>
  </si>
  <si>
    <t>Remarque : les kilomètres parcourus en course ne sont bien effectivement pas pris en compte mais ils affectent la moyenne.
De plus, on peut tenir compte des échauffements et de la période de relâchement post compétitions principales.
Dans mon cas, pour avoir une estimation juste de la distance parcourue par semaine, i lfaut ajouter 2x les kilomètres parcourus en compétition.</t>
  </si>
  <si>
    <t>Préparation d'une séance de SEUIL</t>
  </si>
  <si>
    <t>vitesse SEUIL (rappel feuille allures)</t>
  </si>
  <si>
    <t>Saisir son record sur une distance entre 10 et 15km</t>
  </si>
  <si>
    <t>en</t>
  </si>
  <si>
    <t>h</t>
  </si>
  <si>
    <t>Si il n'y a pas de saisie d'une valeur record, la vitesse SEUIL prise en compte est celle calculée dans la feuille allures</t>
  </si>
  <si>
    <t>Séance SEUIL</t>
  </si>
  <si>
    <t>Saisir une distance (inférieure à 15 000 m) pour avoir les temps aux tours.</t>
  </si>
  <si>
    <t>Une séance de SEUIL doit durer un minimum de 25'.</t>
  </si>
  <si>
    <t>En période de développement :</t>
  </si>
  <si>
    <t>1 séance SEUIL/ 5-6 jours</t>
  </si>
  <si>
    <t>Parallèlement faire juste une séance VMA en rappel tous les 8-10 jours</t>
  </si>
  <si>
    <t>En période de récupération :</t>
  </si>
  <si>
    <t>Ne pas faire de SEUIL</t>
  </si>
  <si>
    <t>Progression :</t>
  </si>
  <si>
    <t>Commencer par quelques répétitions. Soit 3 X 8' voire 4 X 6'</t>
  </si>
  <si>
    <t>3 X</t>
  </si>
  <si>
    <t>4 X</t>
  </si>
  <si>
    <t>La fréquence cardiaque de travail du SEUIL est de</t>
  </si>
  <si>
    <t xml:space="preserve"> pulsations/ min.</t>
  </si>
  <si>
    <t>La fréquence cardiaque pourra être comprise entre</t>
  </si>
  <si>
    <t>et</t>
  </si>
  <si>
    <t>pulsations/ min.</t>
  </si>
  <si>
    <t>La récupération est active en trottinant pendant 1 à 2'.</t>
  </si>
  <si>
    <t>Le pouls ne devrait pas baisser de plus de 20 à 25 pulsations.</t>
  </si>
  <si>
    <t>Soit</t>
  </si>
  <si>
    <t>Il est possible de varier la longueur des répétitions :</t>
  </si>
  <si>
    <t>On pourra augmenter le nombre de répétitions ou varier le terrain d'entraînement.</t>
  </si>
  <si>
    <t>Tous les 3 à 5 séances de SEUIL :</t>
  </si>
  <si>
    <t xml:space="preserve">Faire une séance en 2 blocs. Soit 2 X de 13' à 20'. </t>
  </si>
  <si>
    <t xml:space="preserve">Courir de </t>
  </si>
  <si>
    <t xml:space="preserve">à </t>
  </si>
  <si>
    <t>.</t>
  </si>
  <si>
    <t xml:space="preserve">Faire une séance en seul bloc. Soit 1 X de 25' à 35'. </t>
  </si>
  <si>
    <t>(Voire 40' à 50' pour les plus entraînés.)</t>
  </si>
  <si>
    <t xml:space="preserve">Pour avoir vos temps de passage au kilomètre, cliquez sur </t>
  </si>
  <si>
    <t>KILO</t>
  </si>
  <si>
    <t>Cette feuille permet de calculer les distances et les vitesses équivalentes en fonction des dénivelés et qualités du parcours</t>
  </si>
  <si>
    <t>Indiquer le nombre de km réel et les différents dénivelés (cases vertes)</t>
  </si>
  <si>
    <t>Nb km :</t>
  </si>
  <si>
    <t>dénivelé (+)</t>
  </si>
  <si>
    <t>dénivelé (-)</t>
  </si>
  <si>
    <t xml:space="preserve">par exemple : </t>
  </si>
  <si>
    <t>CCC 2008</t>
  </si>
  <si>
    <t>98,3 km</t>
  </si>
  <si>
    <t>D+</t>
  </si>
  <si>
    <t>5549m</t>
  </si>
  <si>
    <t>équivalent kilométrique :</t>
  </si>
  <si>
    <t>D -</t>
  </si>
  <si>
    <t>5734m</t>
  </si>
  <si>
    <t>route</t>
  </si>
  <si>
    <t>Saisir, en pourcentage, les différentes qualités de parcours rencontrés :</t>
  </si>
  <si>
    <t>bon ch.</t>
  </si>
  <si>
    <t>(La route étant le meilleur des parcours et le chemin très difficile le moins bon.)</t>
  </si>
  <si>
    <t>ch. diff</t>
  </si>
  <si>
    <t>route ou piste</t>
  </si>
  <si>
    <t>bon chemin</t>
  </si>
  <si>
    <t>chemin moyen</t>
  </si>
  <si>
    <t>chemin difficile</t>
  </si>
  <si>
    <t>chemin très difficile</t>
  </si>
  <si>
    <t>%</t>
  </si>
  <si>
    <t>Cela permet de calculer l'équivalent kilométrique corrigé :</t>
  </si>
  <si>
    <t>Noter le temps de course prévue ou réalisé (cases vertes) :</t>
  </si>
  <si>
    <t xml:space="preserve">Pour avoir une estimation de votre temps de course, cliquer sur le lien suivant : </t>
  </si>
  <si>
    <t>TEMPS</t>
  </si>
  <si>
    <t>mn</t>
  </si>
  <si>
    <t>Cela donne les différentes vitesses :</t>
  </si>
  <si>
    <t>vitesse kilométrique réelle :</t>
  </si>
  <si>
    <t>vitesse équivalente :</t>
  </si>
  <si>
    <t>vitesse équivalente corrigée :</t>
  </si>
  <si>
    <t>Calcul du dénivelé par kilomètre parcouru</t>
  </si>
  <si>
    <t>Type d'effort</t>
  </si>
  <si>
    <t>Endurance passive</t>
  </si>
  <si>
    <t>Endurance active</t>
  </si>
  <si>
    <t>Résistance douce</t>
  </si>
  <si>
    <t>Résistance dure</t>
  </si>
  <si>
    <t>Footing rapide</t>
  </si>
  <si>
    <t>Fractionné</t>
  </si>
  <si>
    <t xml:space="preserve">Footing raide </t>
  </si>
  <si>
    <t>Type d'épreuve</t>
  </si>
  <si>
    <t>Marche</t>
  </si>
  <si>
    <t>MARCHE</t>
  </si>
  <si>
    <t>&lt; 15,3 KM</t>
  </si>
  <si>
    <t>&lt; 10 KM</t>
  </si>
  <si>
    <t>110 et +</t>
  </si>
  <si>
    <t>&lt; 2,7 KM</t>
  </si>
  <si>
    <t>100 et 200 M</t>
  </si>
  <si>
    <t>Sprint</t>
  </si>
  <si>
    <t>Course</t>
  </si>
  <si>
    <t>NOM DU TRAIL</t>
  </si>
  <si>
    <t>DISTANCE</t>
  </si>
  <si>
    <t>D-</t>
  </si>
  <si>
    <t>COEFFICIENT</t>
  </si>
  <si>
    <t>DISTANCE PLAT</t>
  </si>
  <si>
    <t>LA PEROUSE</t>
  </si>
  <si>
    <t>CCC</t>
  </si>
  <si>
    <t>MAJORATION</t>
  </si>
  <si>
    <t>TEMPS
DE
COURSE</t>
  </si>
  <si>
    <t>DISTANCE
PLAT
MAJOREE</t>
  </si>
  <si>
    <t>VITESSE
REELLE</t>
  </si>
  <si>
    <t>VITESSE
CORRIGEE</t>
  </si>
  <si>
    <t>VITESSE
MAJOREE</t>
  </si>
  <si>
    <t>SEMUR</t>
  </si>
  <si>
    <t>OXYRACE</t>
  </si>
  <si>
    <t>TRAIL DU HAUT CLUNYSOIS</t>
  </si>
  <si>
    <t>28 K ou 49 K</t>
  </si>
  <si>
    <t>SEMI ET 10 KM NUITS SAINT GEORGES</t>
  </si>
  <si>
    <t>PLANNING SORTIES</t>
  </si>
  <si>
    <t>Remarque</t>
  </si>
  <si>
    <t>Repérage Fixey (14h30)</t>
  </si>
  <si>
    <t>Trail Night &amp; Run</t>
  </si>
  <si>
    <t>Short Run - Route</t>
  </si>
  <si>
    <t>Trail La Pérouse</t>
  </si>
  <si>
    <t>Repérage 1 La Pérouse OVS</t>
  </si>
  <si>
    <t>Repérage 1 La Pérouse  perso (départ voiture)</t>
  </si>
  <si>
    <t>Repérage 2 La Pérouse OVS</t>
  </si>
  <si>
    <t>Décrassage (vers 15:30)</t>
  </si>
  <si>
    <t>Sortie OVS - Noël</t>
  </si>
  <si>
    <t>Sortie OVS - Bertrand</t>
  </si>
  <si>
    <t>MATERIEL</t>
  </si>
  <si>
    <t>CHAUSSURES</t>
  </si>
  <si>
    <t>Nom</t>
  </si>
  <si>
    <t>Date d'achat</t>
  </si>
  <si>
    <t>Asics kensei</t>
  </si>
  <si>
    <t>Salomon SpeedCross</t>
  </si>
  <si>
    <t>Brooks Cascadia</t>
  </si>
  <si>
    <t>Date première utilisation</t>
  </si>
  <si>
    <t>Chaussures</t>
  </si>
  <si>
    <t>Km parcourus</t>
  </si>
  <si>
    <t>FRACTIONNE</t>
  </si>
  <si>
    <t>ENTRAINEMENT …</t>
  </si>
  <si>
    <t>TYPE DE PARCOURS</t>
  </si>
  <si>
    <t>FC</t>
  </si>
  <si>
    <t>PIC</t>
  </si>
  <si>
    <t>MONTEE</t>
  </si>
  <si>
    <t>DESCENTE</t>
  </si>
  <si>
    <t>HEURE</t>
  </si>
  <si>
    <t>X</t>
  </si>
  <si>
    <t>VITESSE INSTANTANNEE</t>
  </si>
  <si>
    <t>VITESSE MOYENNE</t>
  </si>
  <si>
    <t>VITESSE PARCOURS</t>
  </si>
  <si>
    <t>ALLURE INSTANTANNEE</t>
  </si>
  <si>
    <t>ALLURE MOYENNE</t>
  </si>
  <si>
    <t>ALLURE PARCOURS</t>
  </si>
  <si>
    <t>DISTANCE PLANIFIEE</t>
  </si>
  <si>
    <t>DISTANCE PARCOURUE</t>
  </si>
  <si>
    <t>FC MOYENNE</t>
  </si>
  <si>
    <t>ALTITUDE MESUREE</t>
  </si>
  <si>
    <t>VITESSE VERTICALE</t>
  </si>
  <si>
    <t>VALEURS MESUREES ET INTERET</t>
  </si>
  <si>
    <t>CONSULTATION SUR LA MONTRE EN EXERCICE OU EPREUVE (si lunettes)</t>
  </si>
  <si>
    <t xml:space="preserve">ANALYSE APRES EXERCICE OU EPREUVE </t>
  </si>
  <si>
    <t>CHRONO</t>
  </si>
  <si>
    <t>DOUBLE TEMPS</t>
  </si>
  <si>
    <t>TOUR</t>
  </si>
  <si>
    <t>DUREE DU PARCOURS</t>
  </si>
  <si>
    <t>CHARGE DE LA BATTERIE</t>
  </si>
  <si>
    <t>VIERGE</t>
  </si>
  <si>
    <t>CADENCE</t>
  </si>
  <si>
    <t>Jogging</t>
  </si>
  <si>
    <t>Décrassage</t>
  </si>
  <si>
    <t>Réveil Talant</t>
  </si>
  <si>
    <t>Réveil Talant - Ahuy - Talant</t>
  </si>
  <si>
    <t>Run</t>
  </si>
  <si>
    <t>Repos</t>
  </si>
  <si>
    <t>Sortie Plateau de Chenôve</t>
  </si>
  <si>
    <t>Sortie Darois-Plombières</t>
  </si>
  <si>
    <t>Sortie OVS Noël Fontaine-Messigny-Ahuy</t>
  </si>
  <si>
    <t>RUN 8 KM TEST MONTRE</t>
  </si>
  <si>
    <t>Repérage 1 La Transmontagne</t>
  </si>
  <si>
    <t>Cascadia  p11</t>
  </si>
  <si>
    <t>NIGHT RUN 10K</t>
  </si>
  <si>
    <t>RUN 10K</t>
  </si>
  <si>
    <t>NIGHT RUN 8K</t>
  </si>
  <si>
    <t>RUN 16 K</t>
  </si>
  <si>
    <t>RUN 16K</t>
  </si>
  <si>
    <t>RUN mi-trail mi-route</t>
  </si>
  <si>
    <t>RUN trail</t>
  </si>
  <si>
    <t>Run trail</t>
  </si>
  <si>
    <t>Run Kensei 30 K</t>
  </si>
  <si>
    <t xml:space="preserve"> </t>
  </si>
  <si>
    <t>RUN ETAULES</t>
  </si>
  <si>
    <t>RUN HAUTEVILLE</t>
  </si>
  <si>
    <t>RUN DAIX</t>
  </si>
  <si>
    <t>ROAD RUN</t>
  </si>
  <si>
    <t xml:space="preserve">SHORT WAKE-UP 8K + 1 HOUR </t>
  </si>
  <si>
    <t>TRAIL RUN</t>
  </si>
  <si>
    <t>Moyenne par jour</t>
  </si>
  <si>
    <t>Dégraissage à 8 KM/H</t>
  </si>
  <si>
    <t>SHORT RUN</t>
  </si>
  <si>
    <t>RUN HUMIDE</t>
  </si>
  <si>
    <t>HYDRATATION</t>
  </si>
  <si>
    <t>Type</t>
  </si>
  <si>
    <t>Chaud ou Rapide</t>
  </si>
  <si>
    <t>Normal ou Cool</t>
  </si>
  <si>
    <t>Consommation
totale</t>
  </si>
  <si>
    <t>Durée (heure)</t>
  </si>
  <si>
    <t>Consommation
horaire</t>
  </si>
  <si>
    <t>2 flasques de 0,6 à 0,750 litres disons 500 ml pour compatibilité avec sac salomon</t>
  </si>
  <si>
    <t>RDV Noël pour 22 K Bergerie à 16h30</t>
  </si>
  <si>
    <t xml:space="preserve">RDV Noël à 16h40 </t>
  </si>
  <si>
    <t>RUN PERDON</t>
  </si>
  <si>
    <t>Vélo route (+30K)</t>
  </si>
  <si>
    <t>TALANT - LAC KIR - LA CRAS (OVS Noël)</t>
  </si>
  <si>
    <t>REVEIL</t>
  </si>
  <si>
    <t>REVEIL LONG</t>
  </si>
  <si>
    <t>TRAIL 15 ou 30 K depuis Talant (+7 K)</t>
  </si>
  <si>
    <t>Trail de la vallée de l'Ouche</t>
  </si>
  <si>
    <t>RUN TRAIL LA CRAS</t>
  </si>
  <si>
    <t>Vélo route (40K)</t>
  </si>
  <si>
    <t>RUN EQUESTRE 14 K</t>
  </si>
  <si>
    <t>JOGGING REVEIL</t>
  </si>
  <si>
    <t>Trail La Crocofolie</t>
  </si>
  <si>
    <t>OVS LUCAS</t>
  </si>
  <si>
    <t>RUN REVEIL</t>
  </si>
  <si>
    <t>OVS ERIC PLATEAU</t>
  </si>
  <si>
    <t>Date de mise au rebut</t>
  </si>
  <si>
    <t>JOGGING + TEST MONTRE FRACTIONNE</t>
  </si>
  <si>
    <t>Début entraînement pour 10 K</t>
  </si>
  <si>
    <t>RUN AFTERWORK</t>
  </si>
  <si>
    <t>Cascadia rouge</t>
  </si>
  <si>
    <t>Hoka Mafate</t>
  </si>
  <si>
    <t>OVS ERIC LAC - PLOMBIERES - LA CRAS</t>
  </si>
  <si>
    <t xml:space="preserve">RUN REVEIL </t>
  </si>
  <si>
    <t>VELO 42 K</t>
  </si>
  <si>
    <t>VELO 30 K</t>
  </si>
  <si>
    <t xml:space="preserve">OVS ERIC OBSERVATOIRE </t>
  </si>
  <si>
    <t>Running</t>
  </si>
  <si>
    <t>Cycling</t>
  </si>
  <si>
    <t>Vélo</t>
  </si>
  <si>
    <t>VTT 29 pouces</t>
  </si>
  <si>
    <t>CYCLE</t>
  </si>
  <si>
    <t>Lapierre Shaper 700</t>
  </si>
  <si>
    <t>REVEIL COURT</t>
  </si>
  <si>
    <t>SORTIE OVS BERTRAND FORT - PRENOIS - HIGH SPEED - La PEROUSE</t>
  </si>
  <si>
    <t>MESSIGNY - ETAULES - PASQUE - PONT de PANY</t>
  </si>
  <si>
    <t>DIJON</t>
  </si>
  <si>
    <t>SORTIE OVS BERTRAND AHUY</t>
  </si>
  <si>
    <t>SORTIE OVS ERIC PLATEAU</t>
  </si>
  <si>
    <t>Swimming</t>
  </si>
  <si>
    <t>m</t>
  </si>
  <si>
    <t>REPRISE ENTRAINEMENT PISCINE (JAMBES DOS)</t>
  </si>
  <si>
    <t>SORTIE OVS ERIC ACCROBRANCHES - SAUSSY</t>
  </si>
  <si>
    <t>TEST VICTOR SUR OUCHE EN VELO (1 heure 10)</t>
  </si>
  <si>
    <t>SORTIE LONGVIC</t>
  </si>
  <si>
    <t>PISCINE battements jambes</t>
  </si>
  <si>
    <t>PISCINE battements jambes 45' + 10' brasse</t>
  </si>
  <si>
    <t>TRAIL DE LA VALLEE D'OUCHE</t>
  </si>
  <si>
    <t>PISCINE battements jambes 45'</t>
  </si>
  <si>
    <t>PISCINE battements jambes 1h20'</t>
  </si>
  <si>
    <t>SORTIE OVS - BERTRAND LAC-PLOMBIERES-TALANT</t>
  </si>
  <si>
    <t>SORTIE OVS EXILOU Combe à la serpent</t>
  </si>
  <si>
    <t>PISCINE battements jambes 55' +25 ' brasse</t>
  </si>
  <si>
    <t>SORTIE VELO PLATEAU - VELARS - TALANT</t>
  </si>
  <si>
    <t>SORITE OVS BERTRAND avec BASTIEN</t>
  </si>
  <si>
    <t>BRASSE (100m) :</t>
  </si>
  <si>
    <t>3'00</t>
  </si>
  <si>
    <t>SORTIE TEST VTT BMC</t>
  </si>
  <si>
    <t>SORTIE OVS ERIC</t>
  </si>
  <si>
    <t>PISCINE battements jambes 25' + 40' brasse</t>
  </si>
  <si>
    <t>SORTIE OVS ERIC AHUY-HAUTEVILLE</t>
  </si>
  <si>
    <t>TRAIL DE LA ROCHE D'ANSE</t>
  </si>
  <si>
    <t>PISCINE 30' jambes et 27' brasse</t>
  </si>
  <si>
    <t>ALESIA TRAIL VERCINGETORIX</t>
  </si>
  <si>
    <t>RUN 10K - VELO 60K - PISCINE 2K</t>
  </si>
  <si>
    <t>RUN TALANT</t>
  </si>
  <si>
    <t>SORTIE OVS BRUNO COMBE A LA SERPENT</t>
  </si>
  <si>
    <t>RUN</t>
  </si>
  <si>
    <t>20 K 1500D</t>
  </si>
  <si>
    <t>RUN OVS AVEC ERIC</t>
  </si>
  <si>
    <t>RUN TEST PERSO &gt; 10km/h</t>
  </si>
  <si>
    <t>Apparition début de déchirures à 320 km</t>
  </si>
  <si>
    <t>CHAMONIX - ARGENTIERE</t>
  </si>
  <si>
    <t>LE REFUGE DU LAC BLANC</t>
  </si>
  <si>
    <t>MARATHON DU MONT-BLANC</t>
  </si>
  <si>
    <t xml:space="preserve">15 K 1400D+ </t>
  </si>
  <si>
    <t>CONCLUSION :</t>
  </si>
  <si>
    <t>Rythme cardiaque généralement relevé au cours des derniers mois entre 130 et 155</t>
  </si>
  <si>
    <t xml:space="preserve">Donc prêt pour un semi &lt;1:50 </t>
  </si>
  <si>
    <t>RECO MARATHON MONt-BLANC</t>
  </si>
  <si>
    <t>RECO MARATHON MONT-BLANC</t>
  </si>
  <si>
    <t>MONTEE DU MONT BUET</t>
  </si>
  <si>
    <t>KV</t>
  </si>
  <si>
    <t>TEST MINIMALISTES</t>
  </si>
  <si>
    <t>10 K (dont KV et test minimalistes</t>
  </si>
  <si>
    <t>RECO MARATHON</t>
  </si>
  <si>
    <t>MONT-BUET</t>
  </si>
  <si>
    <t>JOUR D'ARRIVEE</t>
  </si>
  <si>
    <t>SORTIE VELO 38K</t>
  </si>
  <si>
    <t>PISCINE 34' 1,2 K en brasse</t>
  </si>
  <si>
    <t xml:space="preserve">Sortie OVS - Guergueuil </t>
  </si>
  <si>
    <t>PISCINE 40' jambes, 20' Brasse</t>
  </si>
  <si>
    <t>SEMI MARATHON DU BIEN PUBLIC</t>
  </si>
  <si>
    <t>Jogging trail</t>
  </si>
  <si>
    <t>COURSE DU BP 21K</t>
  </si>
  <si>
    <t>SORTIE OVS BERTRAND TALANT</t>
  </si>
  <si>
    <t>SORTIE VELO BAULME-LA-ROCHE</t>
  </si>
  <si>
    <t>RUN AVEC BEAT</t>
  </si>
  <si>
    <t>PISCINE JAMBES</t>
  </si>
  <si>
    <t>PISCINE GRESILLES 1800 m Brasse et 750m jambes + VELO fi nde journée</t>
  </si>
  <si>
    <t>SORTIE VELO 2 heures sous la pluie</t>
  </si>
  <si>
    <t>PISCINE 1 heure brasse</t>
  </si>
  <si>
    <t>MORNING RUN WITH MANCHONS &gt;11 km/h</t>
  </si>
  <si>
    <t>Cascadia GR20</t>
  </si>
  <si>
    <t xml:space="preserve">SORTIE OVS VINCENT-EXILOU </t>
  </si>
  <si>
    <t>PISCINE 40' + velo 1h50</t>
  </si>
  <si>
    <t>PISCINE 45' 1,5K</t>
  </si>
  <si>
    <t>Vélo : 40K</t>
  </si>
  <si>
    <t>TEST BATONS</t>
  </si>
  <si>
    <t>SORTIE VELO VAL-SUZON 45K</t>
  </si>
  <si>
    <t>ALESIA TRAIL - VERCINGETORIX</t>
  </si>
  <si>
    <t>RUN REVEIL 4K. PISCINE EN SOIREE</t>
  </si>
  <si>
    <t>VELO VAL-SUZON PANGES TALANT</t>
  </si>
  <si>
    <t>SORTIE TARDIVE VELO</t>
  </si>
  <si>
    <t>RUN 10K 1:00</t>
  </si>
  <si>
    <t>SORTIE VELO - VAL SUZON - DAROIS</t>
  </si>
  <si>
    <t>PISCINE 1:20 et 1600m puis VELO 15K</t>
  </si>
  <si>
    <t>TEST RUN FRACT LAC + 43K SAUSSY VELO</t>
  </si>
  <si>
    <t>OVS 14K</t>
  </si>
  <si>
    <t>Brooks Transcend 2.0</t>
  </si>
  <si>
    <t>FRACT LAC + VELO FRANCHEVILLE</t>
  </si>
  <si>
    <t>FRACT LAC + VELO SAVIGNY LE SEC</t>
  </si>
  <si>
    <t>FRACT LAC</t>
  </si>
  <si>
    <t>SORTIE 1heure LAC (45')</t>
  </si>
  <si>
    <t>TRAIL LE BOUTON D'OR</t>
  </si>
  <si>
    <t>RECO MADONE avec BEAT</t>
  </si>
  <si>
    <t xml:space="preserve">TRAIL DE NUIT OVS </t>
  </si>
  <si>
    <t xml:space="preserve">JOGGING </t>
  </si>
  <si>
    <t>SORTIE OVS VINCENT</t>
  </si>
  <si>
    <t>REVEIL TRES COURT + SORTIE PRENOIS</t>
  </si>
  <si>
    <t>REVEIL TRAIL TRES COURT + SORTIE NEAR ETAULES - HAUTEVILLE</t>
  </si>
  <si>
    <t>SEMI MARATHON DE LA VENTE DES VINS DE BEAUNE</t>
  </si>
  <si>
    <t>Montée Talant 500m à 11,5 %</t>
  </si>
  <si>
    <t>Sortie vélo tardive</t>
  </si>
  <si>
    <t>Trail court montées et sortie vélo</t>
  </si>
  <si>
    <t>Sorite voie cyclable</t>
  </si>
  <si>
    <t>SORTIE TRAIL OVS CRETE VAL SUZON + depl vélo</t>
  </si>
  <si>
    <t xml:space="preserve">TRAIL LA MADONE </t>
  </si>
  <si>
    <t>Rappel poids début novembre 2014 : 92 kg</t>
  </si>
  <si>
    <t>SORTIE MATINALE HAUTEVILLE</t>
  </si>
  <si>
    <t>MARATHON DE BARCELONE</t>
  </si>
  <si>
    <t>TRAIL CHENOVE LES BOMBIS</t>
  </si>
  <si>
    <t>O’Xуrаcе trаіl Blаnc Jurаssіеn</t>
  </si>
  <si>
    <t>UTCO</t>
  </si>
  <si>
    <t>JOGGING REVEIL + SORTIE VELO VAL-SUZON</t>
  </si>
  <si>
    <t>JOGGING REVEIL 8K + RUN LAC 6K</t>
  </si>
  <si>
    <t>RUN ROULANT</t>
  </si>
  <si>
    <t>SORTIE OVS VINCENT FEU VERT HAUTEVILLE</t>
  </si>
  <si>
    <t>Remarques Cascadia 10 :</t>
  </si>
  <si>
    <t>Pneu arrière</t>
  </si>
  <si>
    <t>21/11/2015</t>
  </si>
  <si>
    <t>22/11/2015</t>
  </si>
  <si>
    <t xml:space="preserve"> Début : 2000 K</t>
  </si>
  <si>
    <t>(6000 à 9000K plus loin)</t>
  </si>
  <si>
    <t>LONG SLOW MORNING RUN</t>
  </si>
  <si>
    <t>23/11/2015</t>
  </si>
  <si>
    <t>MORNING RUN (11k/h) + 26K Vélo</t>
  </si>
  <si>
    <t>MORNING RUN 11K</t>
  </si>
  <si>
    <t>MORNING RUN 12K</t>
  </si>
  <si>
    <t>TOUR DU LAC (PAR LES HAUTEURS)</t>
  </si>
  <si>
    <t>SORTIE OVS + A/R</t>
  </si>
  <si>
    <t>Mizuno Cabrakan (44)</t>
  </si>
  <si>
    <t>Remarques</t>
  </si>
  <si>
    <t>p: 44,5</t>
  </si>
  <si>
    <t>p :44</t>
  </si>
  <si>
    <t>p: 45</t>
  </si>
  <si>
    <t>Mizuno Wave Prophecy</t>
  </si>
  <si>
    <t>trop petites et remplacées pour usage normal</t>
  </si>
  <si>
    <t>p: 11 US</t>
  </si>
  <si>
    <t xml:space="preserve"> GTX, p: 44 2/3 (avant du pied trop fin pour moi)</t>
  </si>
  <si>
    <t>p: 46 (Un poil grand)</t>
  </si>
  <si>
    <t>p: ? (un poil trop grandes 2 chaussettes)</t>
  </si>
  <si>
    <t>RUN MATINAL</t>
  </si>
  <si>
    <t>RUN DIGESTION</t>
  </si>
  <si>
    <t>RUN APPROCHE JOUVENCE + 15K Vélo</t>
  </si>
  <si>
    <t>RUN PRISE DE CONTACT KALENJI</t>
  </si>
  <si>
    <t>p: 46</t>
  </si>
  <si>
    <t>Kalenji XT5</t>
  </si>
  <si>
    <t xml:space="preserve">RUN BOUE TYPE PLATEAU </t>
  </si>
  <si>
    <t>Bike and Run</t>
  </si>
  <si>
    <t>Calendrier - Sorties</t>
  </si>
  <si>
    <t>RUN FOOTING DEGRAISSAGE</t>
  </si>
  <si>
    <t>SORTIE RUN MATINAL REPRISE</t>
  </si>
  <si>
    <t>RUN DIGESTIF RUEIL</t>
  </si>
  <si>
    <t xml:space="preserve">RUN MATINAL + VELO </t>
  </si>
  <si>
    <t xml:space="preserve">RUN MATINAL 10 k/h + SORTIE VELO </t>
  </si>
  <si>
    <t>SHORT RUN MATINAL + SORTIE VELO</t>
  </si>
  <si>
    <t>Marathon</t>
  </si>
  <si>
    <t>12 km/h</t>
  </si>
  <si>
    <t>km/h</t>
  </si>
  <si>
    <t>Temps au kilo</t>
  </si>
  <si>
    <t>Spécifique 10k</t>
  </si>
  <si>
    <t>Spécifique Semi</t>
  </si>
  <si>
    <t>5'00</t>
  </si>
  <si>
    <t>4'30</t>
  </si>
  <si>
    <t>Allure 1</t>
  </si>
  <si>
    <t xml:space="preserve">VMA calculée
min </t>
  </si>
  <si>
    <t>VMA calculée
max</t>
  </si>
  <si>
    <t>Allure 2</t>
  </si>
  <si>
    <t>VMA estimée à 16 km/h mais poids à tendance à diminuer les ratios habituellement constatés</t>
  </si>
  <si>
    <t>Allure 2 max</t>
  </si>
  <si>
    <t>Allure 2 min</t>
  </si>
  <si>
    <t>Allure 1 max</t>
  </si>
  <si>
    <t>Allure 1 min</t>
  </si>
  <si>
    <t>Temps final</t>
  </si>
  <si>
    <t>Allures</t>
  </si>
  <si>
    <t>4'15</t>
  </si>
  <si>
    <t>6'00</t>
  </si>
  <si>
    <t>5'33</t>
  </si>
  <si>
    <t>7'06</t>
  </si>
  <si>
    <t>Durée</t>
  </si>
  <si>
    <t>1h15</t>
  </si>
  <si>
    <t>1h00</t>
  </si>
  <si>
    <t>1h05</t>
  </si>
  <si>
    <t>Course à pied</t>
  </si>
  <si>
    <t>Séance</t>
  </si>
  <si>
    <t>dont 20' (30''/30")</t>
  </si>
  <si>
    <t>Allure 2 et VMA</t>
  </si>
  <si>
    <t xml:space="preserve">SORTIE OVS VAL SUZON + VELO </t>
  </si>
  <si>
    <t>SORTIE VELO PONT-DE-PANY GEVREY</t>
  </si>
  <si>
    <t>TRAIL DE LA PEROUSE</t>
  </si>
  <si>
    <t>TRAIL DE LA CHOUETTE</t>
  </si>
  <si>
    <t>NIGHT AND RUN BROCHON (eq SEMI)</t>
  </si>
  <si>
    <t>SORTIE SEMI 20K 2 heures (avec chemins) + SORTIE VELO</t>
  </si>
  <si>
    <t>Repos forcé</t>
  </si>
  <si>
    <t>RUN FAMILIAL</t>
  </si>
  <si>
    <t>RUN FAMILIAL + SORTIE VELO</t>
  </si>
  <si>
    <t xml:space="preserve">RUN MATINAL </t>
  </si>
  <si>
    <t>Happy New Run 2016</t>
  </si>
  <si>
    <t>Sortie pour tester gros orteil et pieds</t>
  </si>
  <si>
    <t>Sortie vélo test condition 25 km/h</t>
  </si>
  <si>
    <t>Sortie boue test</t>
  </si>
  <si>
    <t>1h20</t>
  </si>
  <si>
    <t>Allure 1 + Marathon</t>
  </si>
  <si>
    <t>1h25</t>
  </si>
  <si>
    <t>1h</t>
  </si>
  <si>
    <t>1h30</t>
  </si>
  <si>
    <t>dont 3x10'(80%VMA</t>
  </si>
  <si>
    <t>80% VMA</t>
  </si>
  <si>
    <t>Trot min (25% VMA)</t>
  </si>
  <si>
    <t>Fract Allures (h/l)</t>
  </si>
  <si>
    <t>Fract (nbx(durée(h);durée(l))</t>
  </si>
  <si>
    <t>3x(10'h/1'30l)</t>
  </si>
  <si>
    <t>ACRONYMES</t>
  </si>
  <si>
    <t>Acronyme</t>
  </si>
  <si>
    <t>b</t>
  </si>
  <si>
    <t>l</t>
  </si>
  <si>
    <t>Vitesse élévée (high)</t>
  </si>
  <si>
    <t>Vitesse base (base)</t>
  </si>
  <si>
    <t>Vitesse basse (low)</t>
  </si>
  <si>
    <t>PROGRAMME D'UNE SEANCE</t>
  </si>
  <si>
    <t>Etapes</t>
  </si>
  <si>
    <t>Echauffement</t>
  </si>
  <si>
    <t>20'</t>
  </si>
  <si>
    <t>Vitesse</t>
  </si>
  <si>
    <t>V_TROT</t>
  </si>
  <si>
    <t>PARTIE FRACTIONNE</t>
  </si>
  <si>
    <t>Nb Etapes</t>
  </si>
  <si>
    <t>Durée l</t>
  </si>
  <si>
    <t>vitesse l</t>
  </si>
  <si>
    <t>Durée h</t>
  </si>
  <si>
    <t>vitesse h</t>
  </si>
  <si>
    <t>temps au kilo h</t>
  </si>
  <si>
    <t>temps au kilo l</t>
  </si>
  <si>
    <t>Plan</t>
  </si>
  <si>
    <t>Jour</t>
  </si>
  <si>
    <t>1er Marathon</t>
  </si>
  <si>
    <t>3x(00:00:00@h/00:00:00@l)</t>
  </si>
  <si>
    <t>3x(00:10:00@'80%VMA/00h1'30''@TROT)</t>
  </si>
  <si>
    <t>Durée totale fractionné</t>
  </si>
  <si>
    <t>Définition séance allure constante</t>
  </si>
  <si>
    <t>Définition séance fractionné</t>
  </si>
  <si>
    <t>00:00:00@h</t>
  </si>
  <si>
    <t>85% VMA</t>
  </si>
  <si>
    <t>80%VMA</t>
  </si>
  <si>
    <t>65% VMA</t>
  </si>
  <si>
    <t xml:space="preserve">          a</t>
  </si>
  <si>
    <t>80-85% VMA</t>
  </si>
  <si>
    <t>65-70% VMA</t>
  </si>
  <si>
    <t>70-75% VMA</t>
  </si>
  <si>
    <t>Seuil min</t>
  </si>
  <si>
    <t>Seuil max</t>
  </si>
  <si>
    <t>75% VMA</t>
  </si>
  <si>
    <t>70% VMA</t>
  </si>
  <si>
    <t>Seuil retenu</t>
  </si>
  <si>
    <t>5'45''</t>
  </si>
  <si>
    <t>5'30''</t>
  </si>
  <si>
    <t>6'00''</t>
  </si>
  <si>
    <t>5'40''</t>
  </si>
  <si>
    <t>5'20''</t>
  </si>
  <si>
    <t>5'00''</t>
  </si>
  <si>
    <t>4'35''</t>
  </si>
  <si>
    <t>4'20</t>
  </si>
  <si>
    <t>4'50''</t>
  </si>
  <si>
    <t>W1 D5 : 1h@v1</t>
  </si>
  <si>
    <t>W1 D3 : 1h10@5'30 au lieu de 1'30@v1 dont 3x10@v3 (Récup 1'30)</t>
  </si>
  <si>
    <t>W1D2 : 55'@v1 dont 20x(30''/30')@MAX</t>
  </si>
  <si>
    <t>PREPA OVS avec Phil 2h@5'30</t>
  </si>
  <si>
    <t>W1D7 : 1h45@v1 dont 3x10'@v3 (en 2 fois) TOTAL :1h50</t>
  </si>
  <si>
    <t>1h20@5'45</t>
  </si>
  <si>
    <t>PERFORMANCES</t>
  </si>
  <si>
    <t>dossards</t>
  </si>
  <si>
    <t xml:space="preserve">NOM </t>
  </si>
  <si>
    <t>PRENOM</t>
  </si>
  <si>
    <t>SEXE</t>
  </si>
  <si>
    <t>CATEGORIE</t>
  </si>
  <si>
    <t>CLUB</t>
  </si>
  <si>
    <t xml:space="preserve"> moyenne </t>
  </si>
  <si>
    <t>RANG</t>
  </si>
  <si>
    <t>TRAIL</t>
  </si>
  <si>
    <t xml:space="preserve">Dénivelé + </t>
  </si>
  <si>
    <t>Durée (Format hh:mm:ss)</t>
  </si>
  <si>
    <t>Nb heures</t>
  </si>
  <si>
    <t>Nb minutes</t>
  </si>
  <si>
    <t>Nb secondes</t>
  </si>
  <si>
    <t>Durée en heures</t>
  </si>
  <si>
    <t>Vitesse en km/h</t>
  </si>
  <si>
    <t>PETITJEAN</t>
  </si>
  <si>
    <t>BENJAMIN</t>
  </si>
  <si>
    <t>SE</t>
  </si>
  <si>
    <t>AC CHENOVE</t>
  </si>
  <si>
    <t>Réalisé</t>
  </si>
  <si>
    <t>ALESIA 2014</t>
  </si>
  <si>
    <t>COLLIN</t>
  </si>
  <si>
    <t>JULIEN</t>
  </si>
  <si>
    <t>HAUT CLUNYSOIS</t>
  </si>
  <si>
    <t>RUCHAUD</t>
  </si>
  <si>
    <t>REGIS</t>
  </si>
  <si>
    <t>VTT GEVREY</t>
  </si>
  <si>
    <t>BOUTON D'OR 2014</t>
  </si>
  <si>
    <t>ROYER</t>
  </si>
  <si>
    <t>DENIS</t>
  </si>
  <si>
    <t>V1</t>
  </si>
  <si>
    <t>DIJON TRIATHLON</t>
  </si>
  <si>
    <t>LA MADONE 2014</t>
  </si>
  <si>
    <t>CLARINARD</t>
  </si>
  <si>
    <t>MICHAEL</t>
  </si>
  <si>
    <t>Estimé</t>
  </si>
  <si>
    <t>LA NUIT D'OR 2014</t>
  </si>
  <si>
    <t>GAUTHIER</t>
  </si>
  <si>
    <t>ASCEA VALDUC</t>
  </si>
  <si>
    <t>OXYRACE 2015</t>
  </si>
  <si>
    <t>RUSSIER</t>
  </si>
  <si>
    <t>FABIEN</t>
  </si>
  <si>
    <t>DIJON UC</t>
  </si>
  <si>
    <t>OXYRACE 2016</t>
  </si>
  <si>
    <t>FOREAU</t>
  </si>
  <si>
    <t>ALEXANDRE</t>
  </si>
  <si>
    <t>SEMUR-EN-AUXOIS</t>
  </si>
  <si>
    <t>GUILLAUMOT</t>
  </si>
  <si>
    <t>QUENTIN</t>
  </si>
  <si>
    <t>DURPOIX</t>
  </si>
  <si>
    <t>ALAIN</t>
  </si>
  <si>
    <t>Reperage</t>
  </si>
  <si>
    <t>CROCOFOLIE</t>
  </si>
  <si>
    <t>VERCINGETORIX</t>
  </si>
  <si>
    <t>DEMOULIN</t>
  </si>
  <si>
    <t>OLIVIER</t>
  </si>
  <si>
    <t>TEAM COSTO</t>
  </si>
  <si>
    <t>LA ROCHE D'ANSE</t>
  </si>
  <si>
    <t>KRYS</t>
  </si>
  <si>
    <t>Calcul</t>
  </si>
  <si>
    <t>GALLET</t>
  </si>
  <si>
    <t>ANTOINE</t>
  </si>
  <si>
    <t>FOURNEY</t>
  </si>
  <si>
    <t>ALEX</t>
  </si>
  <si>
    <t>Souhaité</t>
  </si>
  <si>
    <t>SEMI BEAUNE 2015</t>
  </si>
  <si>
    <t>SIMON</t>
  </si>
  <si>
    <t>CA</t>
  </si>
  <si>
    <t>SCO DIJON</t>
  </si>
  <si>
    <t>LA MADONE 2015</t>
  </si>
  <si>
    <t>BOUTON D'OR 2015</t>
  </si>
  <si>
    <t>SEMI BEAUNE2015</t>
  </si>
  <si>
    <t>SEMI DIJON</t>
  </si>
  <si>
    <t>EYMANN</t>
  </si>
  <si>
    <t>MATTHIEU</t>
  </si>
  <si>
    <t>MID TRAIL BOMBIS</t>
  </si>
  <si>
    <t>Calculé</t>
  </si>
  <si>
    <t>FULBERT</t>
  </si>
  <si>
    <t>JACKY</t>
  </si>
  <si>
    <t>V2</t>
  </si>
  <si>
    <t>PLOMBIERES ATHLETIC SPORT</t>
  </si>
  <si>
    <t>MARATHON cible</t>
  </si>
  <si>
    <t>MARATHON rêvé</t>
  </si>
  <si>
    <t>PREPA SEMI OUEST</t>
  </si>
  <si>
    <t>DOMINIQUE</t>
  </si>
  <si>
    <t>SIRIEIX</t>
  </si>
  <si>
    <t>YANN</t>
  </si>
  <si>
    <t xml:space="preserve">COTE ET SPORT </t>
  </si>
  <si>
    <t>HERNANDEZ</t>
  </si>
  <si>
    <t>JEAN FRANCOIS</t>
  </si>
  <si>
    <t>GAZELEC</t>
  </si>
  <si>
    <t>DA COSTA</t>
  </si>
  <si>
    <t>SEBASTIEN</t>
  </si>
  <si>
    <t>EYRAUD</t>
  </si>
  <si>
    <t>CEDRIC</t>
  </si>
  <si>
    <t>CORDIER</t>
  </si>
  <si>
    <t>EMMANUEL</t>
  </si>
  <si>
    <t>BONNET</t>
  </si>
  <si>
    <t>CHRISTIAN</t>
  </si>
  <si>
    <t>NUITS COURSE A PIED</t>
  </si>
  <si>
    <t>LETIENNE</t>
  </si>
  <si>
    <t>ARNAUD</t>
  </si>
  <si>
    <t>CYCLING ECO TEAM</t>
  </si>
  <si>
    <t xml:space="preserve">CHASSON </t>
  </si>
  <si>
    <t>VINCENT</t>
  </si>
  <si>
    <t>LYCEE DE BROCHON</t>
  </si>
  <si>
    <t>CARLIER</t>
  </si>
  <si>
    <t>JEAN BAPTISTE</t>
  </si>
  <si>
    <t>JACOBERGER</t>
  </si>
  <si>
    <t>BRUNO</t>
  </si>
  <si>
    <t>MARPAUX</t>
  </si>
  <si>
    <t>MAXIME</t>
  </si>
  <si>
    <t>JU</t>
  </si>
  <si>
    <t>DUTHU</t>
  </si>
  <si>
    <t>MATHIEU</t>
  </si>
  <si>
    <t>AS LYCEE BROCHON</t>
  </si>
  <si>
    <t>SAINT EVE</t>
  </si>
  <si>
    <t>BUSIERE</t>
  </si>
  <si>
    <t>DST</t>
  </si>
  <si>
    <t>NIVOT</t>
  </si>
  <si>
    <t>TONY</t>
  </si>
  <si>
    <t>ES</t>
  </si>
  <si>
    <t>LACHOT</t>
  </si>
  <si>
    <t>JEROME</t>
  </si>
  <si>
    <t>RABIET</t>
  </si>
  <si>
    <t>FREDERIC</t>
  </si>
  <si>
    <t>ACR DIJON</t>
  </si>
  <si>
    <t>HUET</t>
  </si>
  <si>
    <t>COTE ET SPORT MESSANGES</t>
  </si>
  <si>
    <t>CHOQUET</t>
  </si>
  <si>
    <t>VIRGINIOT</t>
  </si>
  <si>
    <t>VERNILLET</t>
  </si>
  <si>
    <t>ROMAIN</t>
  </si>
  <si>
    <t>DUCROT</t>
  </si>
  <si>
    <t>LOIC</t>
  </si>
  <si>
    <t>DESBOIS</t>
  </si>
  <si>
    <t>CARINE</t>
  </si>
  <si>
    <t>F</t>
  </si>
  <si>
    <t>TEAM UP2</t>
  </si>
  <si>
    <t>L'OLLIVIER</t>
  </si>
  <si>
    <t>AURELIEN</t>
  </si>
  <si>
    <t>PLASSARD</t>
  </si>
  <si>
    <t>LEO</t>
  </si>
  <si>
    <t>VC CHATILLON</t>
  </si>
  <si>
    <t xml:space="preserve">VANDELLE </t>
  </si>
  <si>
    <t>VALENTIN</t>
  </si>
  <si>
    <t>BEY</t>
  </si>
  <si>
    <t>CARER</t>
  </si>
  <si>
    <t>VIRGILE</t>
  </si>
  <si>
    <t>ERIC</t>
  </si>
  <si>
    <t>ROUGEOT BEAUNE TRI</t>
  </si>
  <si>
    <t>POMMEY</t>
  </si>
  <si>
    <t>DIDIER</t>
  </si>
  <si>
    <t>COSCA</t>
  </si>
  <si>
    <t>PRUNIER</t>
  </si>
  <si>
    <t>GEOFFREY</t>
  </si>
  <si>
    <t>GIBOULOT</t>
  </si>
  <si>
    <t>GAETAN</t>
  </si>
  <si>
    <t>DIJON SINGLE TRACK</t>
  </si>
  <si>
    <t>MIGNEROT</t>
  </si>
  <si>
    <t>NICOLAS</t>
  </si>
  <si>
    <t>POZ</t>
  </si>
  <si>
    <t>CODVELLE</t>
  </si>
  <si>
    <t>AVIRON DIJONNAIS</t>
  </si>
  <si>
    <t>GUILLAUME</t>
  </si>
  <si>
    <t>AUTUN TRIATHLON</t>
  </si>
  <si>
    <t>COUTURIER</t>
  </si>
  <si>
    <t>FAMY</t>
  </si>
  <si>
    <t>TEAM MERCUREY</t>
  </si>
  <si>
    <t>HERARD</t>
  </si>
  <si>
    <t>MIGNOT</t>
  </si>
  <si>
    <t>TROLY</t>
  </si>
  <si>
    <t>LAVENU</t>
  </si>
  <si>
    <t>DAVID</t>
  </si>
  <si>
    <t>LEMOINE</t>
  </si>
  <si>
    <t>LAURENT</t>
  </si>
  <si>
    <t>BELORGEY</t>
  </si>
  <si>
    <t>JEFF</t>
  </si>
  <si>
    <t>CHENOVE TRIATHLON</t>
  </si>
  <si>
    <t>BARBIER</t>
  </si>
  <si>
    <t>ANTONIN</t>
  </si>
  <si>
    <t>VIVOT</t>
  </si>
  <si>
    <t>PEREIRA</t>
  </si>
  <si>
    <t>AUGUSTO</t>
  </si>
  <si>
    <t>GCA</t>
  </si>
  <si>
    <t>CHARCHAUDE</t>
  </si>
  <si>
    <t>CLAUDE</t>
  </si>
  <si>
    <t>CROCO</t>
  </si>
  <si>
    <t>JAVAUX</t>
  </si>
  <si>
    <t>CHARLES</t>
  </si>
  <si>
    <t>FRED</t>
  </si>
  <si>
    <t>CAF</t>
  </si>
  <si>
    <t>LAVIER</t>
  </si>
  <si>
    <t>DAUGE</t>
  </si>
  <si>
    <t>MORTET</t>
  </si>
  <si>
    <t>THIERRY</t>
  </si>
  <si>
    <t>ESCARGOT 21</t>
  </si>
  <si>
    <t>HUBER</t>
  </si>
  <si>
    <t>CHARLOTTE</t>
  </si>
  <si>
    <t>ROUSSEL</t>
  </si>
  <si>
    <t>CHAVERIAT</t>
  </si>
  <si>
    <t>MARC</t>
  </si>
  <si>
    <t>SIMOHAMMED</t>
  </si>
  <si>
    <t>MILOUDE</t>
  </si>
  <si>
    <t>BAUDOIN</t>
  </si>
  <si>
    <t>STEPHANE</t>
  </si>
  <si>
    <t>FERRIER</t>
  </si>
  <si>
    <t>VIRGINIE</t>
  </si>
  <si>
    <t>GAUTHEY</t>
  </si>
  <si>
    <t>CHARPENTIER</t>
  </si>
  <si>
    <t>AS LYCEE DE BROCHON</t>
  </si>
  <si>
    <t>SIRUGUE</t>
  </si>
  <si>
    <t>BORGES</t>
  </si>
  <si>
    <t>ANTONIO</t>
  </si>
  <si>
    <t>TALLANDIER</t>
  </si>
  <si>
    <t>ADOC</t>
  </si>
  <si>
    <t>DEVILLE</t>
  </si>
  <si>
    <t>CHRISTOPHE</t>
  </si>
  <si>
    <t>LEBSIR</t>
  </si>
  <si>
    <t>CHAPUIS</t>
  </si>
  <si>
    <t>LUDOVIC</t>
  </si>
  <si>
    <t>LE MENTEC</t>
  </si>
  <si>
    <t>TOM</t>
  </si>
  <si>
    <t>LADROSSE</t>
  </si>
  <si>
    <t>PRZYBYLA</t>
  </si>
  <si>
    <t>SYLVAIN</t>
  </si>
  <si>
    <t>ENTENTE ATHLE LE CREUSOT</t>
  </si>
  <si>
    <t>LECLERC</t>
  </si>
  <si>
    <t>BOBILLOT</t>
  </si>
  <si>
    <t>JATRICK</t>
  </si>
  <si>
    <t>RATTON</t>
  </si>
  <si>
    <t>FRANCK</t>
  </si>
  <si>
    <t>TEAM GOLD COAST</t>
  </si>
  <si>
    <t>ROUGE</t>
  </si>
  <si>
    <t>TOUZEAU</t>
  </si>
  <si>
    <t>ANDRE</t>
  </si>
  <si>
    <t>GUILLEMAUT</t>
  </si>
  <si>
    <t>PIERRE</t>
  </si>
  <si>
    <t>PUTELAT</t>
  </si>
  <si>
    <t>TANDLER</t>
  </si>
  <si>
    <t>MARIN</t>
  </si>
  <si>
    <t>VILA</t>
  </si>
  <si>
    <t>AVIA CLUB ISSY LES M</t>
  </si>
  <si>
    <t>ZIMMER</t>
  </si>
  <si>
    <t>CHRISROPHE</t>
  </si>
  <si>
    <t>APPERT</t>
  </si>
  <si>
    <t>FLORENT</t>
  </si>
  <si>
    <t>BRULEY</t>
  </si>
  <si>
    <t>MAITRE</t>
  </si>
  <si>
    <t>VICTOR</t>
  </si>
  <si>
    <t>JEANNIARD</t>
  </si>
  <si>
    <t>DEBRIS</t>
  </si>
  <si>
    <t>LUCAS</t>
  </si>
  <si>
    <t>HABIB</t>
  </si>
  <si>
    <t>BOIRON</t>
  </si>
  <si>
    <t>PAUL</t>
  </si>
  <si>
    <t>HAAG</t>
  </si>
  <si>
    <t>ECA</t>
  </si>
  <si>
    <t>TARNIER</t>
  </si>
  <si>
    <t>AC TALANT</t>
  </si>
  <si>
    <t>CHABERT</t>
  </si>
  <si>
    <t>THOMAS</t>
  </si>
  <si>
    <t>ECA CHALON</t>
  </si>
  <si>
    <t>JEREMY</t>
  </si>
  <si>
    <t>POMPANON</t>
  </si>
  <si>
    <t>MARGOT</t>
  </si>
  <si>
    <t>RENAUX</t>
  </si>
  <si>
    <t>PHILIPPE</t>
  </si>
  <si>
    <t>COURIR ET SOURIRE</t>
  </si>
  <si>
    <t>REMY</t>
  </si>
  <si>
    <t>SEVERIN</t>
  </si>
  <si>
    <t>GROSSET</t>
  </si>
  <si>
    <t>DELLEMBURGER</t>
  </si>
  <si>
    <t>DANIEL</t>
  </si>
  <si>
    <t>MARTINIEN</t>
  </si>
  <si>
    <t>FOURCAULT</t>
  </si>
  <si>
    <t>GEROME</t>
  </si>
  <si>
    <t>MICHEL</t>
  </si>
  <si>
    <t>PASCAL</t>
  </si>
  <si>
    <t>HERON</t>
  </si>
  <si>
    <t>GARNIER</t>
  </si>
  <si>
    <t>RODOLPHE</t>
  </si>
  <si>
    <t>ABRASSART</t>
  </si>
  <si>
    <t>JUDITH</t>
  </si>
  <si>
    <t>BROCHOT</t>
  </si>
  <si>
    <t>STEINBERG</t>
  </si>
  <si>
    <t>SCHMIDT</t>
  </si>
  <si>
    <t>TEAM TRAIL JURA</t>
  </si>
  <si>
    <t>BOUILLOUX</t>
  </si>
  <si>
    <t>DARNET</t>
  </si>
  <si>
    <t>CAMILLE</t>
  </si>
  <si>
    <t>MEÏ</t>
  </si>
  <si>
    <t>MORINO-ROS</t>
  </si>
  <si>
    <t>CASALS</t>
  </si>
  <si>
    <t>OXYGENE SAINT LAURENT</t>
  </si>
  <si>
    <t>CHANRION</t>
  </si>
  <si>
    <t>EL YAAGOUBI</t>
  </si>
  <si>
    <t>KHALID</t>
  </si>
  <si>
    <t>COURIR A SENNECEY</t>
  </si>
  <si>
    <t>GUILLERMINET</t>
  </si>
  <si>
    <t>GILLES</t>
  </si>
  <si>
    <t>DENIER</t>
  </si>
  <si>
    <t>ANNE FRANCOISE</t>
  </si>
  <si>
    <t>GSO</t>
  </si>
  <si>
    <t>ISABELLE</t>
  </si>
  <si>
    <t>OVS</t>
  </si>
  <si>
    <t>ANTHONY</t>
  </si>
  <si>
    <t>COELHO</t>
  </si>
  <si>
    <t>TEAM COSMOS</t>
  </si>
  <si>
    <t>TALLENAYE</t>
  </si>
  <si>
    <t>LISTWAN</t>
  </si>
  <si>
    <t>RADREAUX</t>
  </si>
  <si>
    <t>FRANCOIS</t>
  </si>
  <si>
    <t>VTT CLUB GEVREY</t>
  </si>
  <si>
    <t>ROULIN</t>
  </si>
  <si>
    <t>ALL JURA TRAIL</t>
  </si>
  <si>
    <t>JUNOT</t>
  </si>
  <si>
    <t>GREGORY</t>
  </si>
  <si>
    <t>GIGNEY</t>
  </si>
  <si>
    <t>LENTZ</t>
  </si>
  <si>
    <t>NOTIN</t>
  </si>
  <si>
    <t>MAZILLE</t>
  </si>
  <si>
    <t>LYCEE JM BOIVIN</t>
  </si>
  <si>
    <t>WYFFELS</t>
  </si>
  <si>
    <t>DESBROSSES</t>
  </si>
  <si>
    <t>YVES</t>
  </si>
  <si>
    <t>V3</t>
  </si>
  <si>
    <t>CREUSOT VELO SPORT</t>
  </si>
  <si>
    <t>SCHWARTZ</t>
  </si>
  <si>
    <t>ALIN</t>
  </si>
  <si>
    <t>CHARLES HEN</t>
  </si>
  <si>
    <t>JOLIBOIS</t>
  </si>
  <si>
    <t>DAMIEN</t>
  </si>
  <si>
    <t>COQUEREL</t>
  </si>
  <si>
    <t>MESSAUD</t>
  </si>
  <si>
    <t>VITARD</t>
  </si>
  <si>
    <t>MICKAEL</t>
  </si>
  <si>
    <t>BRENEL</t>
  </si>
  <si>
    <t>GEORGES</t>
  </si>
  <si>
    <t>FEROUL</t>
  </si>
  <si>
    <t>LENNY</t>
  </si>
  <si>
    <t>PELLETIER</t>
  </si>
  <si>
    <t>TACNET</t>
  </si>
  <si>
    <t>CLAIRE</t>
  </si>
  <si>
    <t>SA AUTUN</t>
  </si>
  <si>
    <t>ASPTT DIJON ATHLE</t>
  </si>
  <si>
    <t>JIMMY</t>
  </si>
  <si>
    <t>ZUCCHINI</t>
  </si>
  <si>
    <t>MATTHIAS</t>
  </si>
  <si>
    <t>JEAN-FRANCOIS</t>
  </si>
  <si>
    <t>DUCHAINE</t>
  </si>
  <si>
    <t>KUKOLEWSKY</t>
  </si>
  <si>
    <t>SACHA</t>
  </si>
  <si>
    <t>COSTA</t>
  </si>
  <si>
    <t>SCHOENTZ</t>
  </si>
  <si>
    <t>JEAN MICHEL</t>
  </si>
  <si>
    <t>CHEVASSU</t>
  </si>
  <si>
    <t>PATRICE</t>
  </si>
  <si>
    <t>TETARD</t>
  </si>
  <si>
    <t>LAFFUGE</t>
  </si>
  <si>
    <t>JEAN-LUC</t>
  </si>
  <si>
    <t>GRIMOND</t>
  </si>
  <si>
    <t>JONATHAN</t>
  </si>
  <si>
    <t>MORVAN OXYGENE</t>
  </si>
  <si>
    <t>HUMBERT</t>
  </si>
  <si>
    <t>MARINE</t>
  </si>
  <si>
    <t>MONTALBAN</t>
  </si>
  <si>
    <t>CLEMENCE</t>
  </si>
  <si>
    <t>DUMARQUEZ</t>
  </si>
  <si>
    <t>RAPHAEL</t>
  </si>
  <si>
    <t>AJPC</t>
  </si>
  <si>
    <t>GENITONI</t>
  </si>
  <si>
    <t>CHEURIAUX</t>
  </si>
  <si>
    <t>ASVBDCK</t>
  </si>
  <si>
    <t>ROY</t>
  </si>
  <si>
    <t>NATHALIE</t>
  </si>
  <si>
    <t>MOUSSEAUX</t>
  </si>
  <si>
    <t>COLETTE</t>
  </si>
  <si>
    <t>BUGAUT</t>
  </si>
  <si>
    <t>LANAUD</t>
  </si>
  <si>
    <t>PUECH</t>
  </si>
  <si>
    <t>AQUILO</t>
  </si>
  <si>
    <t>JEAN CLAUDE</t>
  </si>
  <si>
    <t>GUENEAU</t>
  </si>
  <si>
    <t>MARINETTE</t>
  </si>
  <si>
    <t>POULET</t>
  </si>
  <si>
    <t>DAMERON</t>
  </si>
  <si>
    <t>DEGRANDCOURT</t>
  </si>
  <si>
    <t>DEZANNEAU</t>
  </si>
  <si>
    <t>HERVE</t>
  </si>
  <si>
    <t>RIBES</t>
  </si>
  <si>
    <t>NOEL</t>
  </si>
  <si>
    <t>CHALON ENDURANCE</t>
  </si>
  <si>
    <t>LAETITIA</t>
  </si>
  <si>
    <t>COLLADO</t>
  </si>
  <si>
    <t>PAULINE</t>
  </si>
  <si>
    <t>BOUYSSOU</t>
  </si>
  <si>
    <t>HENRI</t>
  </si>
  <si>
    <t>PAUTET</t>
  </si>
  <si>
    <t>ACR</t>
  </si>
  <si>
    <t>CERTAIN</t>
  </si>
  <si>
    <t>RENARD</t>
  </si>
  <si>
    <t>PATRICK</t>
  </si>
  <si>
    <t>SARRASIN</t>
  </si>
  <si>
    <t>BARROT</t>
  </si>
  <si>
    <t>AJVN</t>
  </si>
  <si>
    <t>CHAUVOT</t>
  </si>
  <si>
    <t>GAELLE</t>
  </si>
  <si>
    <t>LAMBLOT</t>
  </si>
  <si>
    <t>ANDRE-LOUIS</t>
  </si>
  <si>
    <t>BRUN</t>
  </si>
  <si>
    <t>LEFRANC</t>
  </si>
  <si>
    <t>GRAND CHALON ATHLETISME</t>
  </si>
  <si>
    <t>CHRIST</t>
  </si>
  <si>
    <t>SARAH</t>
  </si>
  <si>
    <t>DUENAS</t>
  </si>
  <si>
    <t>COSTE</t>
  </si>
  <si>
    <t>CHAPPA</t>
  </si>
  <si>
    <t>MARTIN</t>
  </si>
  <si>
    <t>MAILLARD</t>
  </si>
  <si>
    <t>LOT</t>
  </si>
  <si>
    <t>TEAM ALEXIS</t>
  </si>
  <si>
    <t>FATET</t>
  </si>
  <si>
    <t>BOIVIN</t>
  </si>
  <si>
    <t>BLANCHE</t>
  </si>
  <si>
    <t>BERNARD</t>
  </si>
  <si>
    <t>ATSCAF 21</t>
  </si>
  <si>
    <t>PAMPULIM</t>
  </si>
  <si>
    <t>WILLIAM</t>
  </si>
  <si>
    <t>BOULARDOT</t>
  </si>
  <si>
    <t>ASVBD CK</t>
  </si>
  <si>
    <t>RUELLE</t>
  </si>
  <si>
    <t>SAMSON</t>
  </si>
  <si>
    <t>JEAN PHILIPPE</t>
  </si>
  <si>
    <t>LARDERET</t>
  </si>
  <si>
    <t>PITIE</t>
  </si>
  <si>
    <t>LORIOT</t>
  </si>
  <si>
    <t>GAUDILLAT</t>
  </si>
  <si>
    <t>DUPUIS</t>
  </si>
  <si>
    <t>CHARTON</t>
  </si>
  <si>
    <t>PASCARD</t>
  </si>
  <si>
    <t>LOPEZ</t>
  </si>
  <si>
    <t>PAQUERIAUD</t>
  </si>
  <si>
    <t>PAGET</t>
  </si>
  <si>
    <t>PICARD</t>
  </si>
  <si>
    <t>JANSON</t>
  </si>
  <si>
    <t>SOPHIE</t>
  </si>
  <si>
    <t>COURIR DE PLAISIR</t>
  </si>
  <si>
    <t>JEANNOT</t>
  </si>
  <si>
    <t>DECHAUME</t>
  </si>
  <si>
    <t>PERRET</t>
  </si>
  <si>
    <t>DURAND</t>
  </si>
  <si>
    <t>CHARLY</t>
  </si>
  <si>
    <t>FARCY</t>
  </si>
  <si>
    <t>PLOMBIERE</t>
  </si>
  <si>
    <t>LOISY</t>
  </si>
  <si>
    <t>ALINE</t>
  </si>
  <si>
    <t>GEAY</t>
  </si>
  <si>
    <t>TORTOCHAUX</t>
  </si>
  <si>
    <t>FLORENCE</t>
  </si>
  <si>
    <t>ROSA</t>
  </si>
  <si>
    <t>MAROY</t>
  </si>
  <si>
    <t>TCS</t>
  </si>
  <si>
    <t>WYMYSLOWSKI</t>
  </si>
  <si>
    <t>MAURICE</t>
  </si>
  <si>
    <t>BENIT</t>
  </si>
  <si>
    <t>RENARD GAUT</t>
  </si>
  <si>
    <t>DELPHINE</t>
  </si>
  <si>
    <t>MOUSSERON</t>
  </si>
  <si>
    <t>LAGUET</t>
  </si>
  <si>
    <t>FLAVIE</t>
  </si>
  <si>
    <t>VILEROY</t>
  </si>
  <si>
    <t>GAUDILLIERE</t>
  </si>
  <si>
    <t>DESSOLIN</t>
  </si>
  <si>
    <t>BROSSARD</t>
  </si>
  <si>
    <t>FORCE</t>
  </si>
  <si>
    <t>SIMONNEAU</t>
  </si>
  <si>
    <t>GUMERY</t>
  </si>
  <si>
    <t>SAVIGNY TRAIL CLUB</t>
  </si>
  <si>
    <t>LAURA</t>
  </si>
  <si>
    <t>RAQUIN</t>
  </si>
  <si>
    <t>MANELLI</t>
  </si>
  <si>
    <t>MONTARON</t>
  </si>
  <si>
    <t>MONDAIN</t>
  </si>
  <si>
    <t>PINSONNEAUX</t>
  </si>
  <si>
    <t>MARIE</t>
  </si>
  <si>
    <t>FONTAINE</t>
  </si>
  <si>
    <t>VILLETARD</t>
  </si>
  <si>
    <t>BOURGEON</t>
  </si>
  <si>
    <t>VANESSA</t>
  </si>
  <si>
    <t>SCHNEIDER</t>
  </si>
  <si>
    <t>DOMERT</t>
  </si>
  <si>
    <t>LUCIE</t>
  </si>
  <si>
    <t>LELOUP</t>
  </si>
  <si>
    <t>FERNANDEZ</t>
  </si>
  <si>
    <t>EA LE CREUSOT</t>
  </si>
  <si>
    <t>CARRY</t>
  </si>
  <si>
    <t>MAGER</t>
  </si>
  <si>
    <t>GERHARD</t>
  </si>
  <si>
    <t>PEUTAT</t>
  </si>
  <si>
    <t>SCHALL</t>
  </si>
  <si>
    <t>JAVIT</t>
  </si>
  <si>
    <t>ASCC</t>
  </si>
  <si>
    <t>DEFAUX</t>
  </si>
  <si>
    <t>MEUGIN</t>
  </si>
  <si>
    <t>FABIENNE</t>
  </si>
  <si>
    <t xml:space="preserve">CHAUVIN </t>
  </si>
  <si>
    <t>LINTON</t>
  </si>
  <si>
    <t>RCAE LIEGE</t>
  </si>
  <si>
    <t>DUCET</t>
  </si>
  <si>
    <t>CYRIL</t>
  </si>
  <si>
    <t>RAVEAU</t>
  </si>
  <si>
    <t>CHRISTINE</t>
  </si>
  <si>
    <t>BEUGRAS</t>
  </si>
  <si>
    <t>OXYGENE ST LAURENT D'AN</t>
  </si>
  <si>
    <t>FICHOT</t>
  </si>
  <si>
    <t>VIOT</t>
  </si>
  <si>
    <t>MACLOU</t>
  </si>
  <si>
    <t>LAGRANGE</t>
  </si>
  <si>
    <t>LE MENER</t>
  </si>
  <si>
    <t>MONNOT</t>
  </si>
  <si>
    <t>MURAT</t>
  </si>
  <si>
    <t>PINTAUD</t>
  </si>
  <si>
    <t>RUFFINO</t>
  </si>
  <si>
    <t>CELIA</t>
  </si>
  <si>
    <t>OLIVEIRA</t>
  </si>
  <si>
    <t>ARMANDO</t>
  </si>
  <si>
    <t>FRENAY</t>
  </si>
  <si>
    <t>PELLEGRINELLI</t>
  </si>
  <si>
    <t>PERRIN</t>
  </si>
  <si>
    <t>ADELINE</t>
  </si>
  <si>
    <t>BEGUE</t>
  </si>
  <si>
    <t>GERALDINE</t>
  </si>
  <si>
    <t>TRIATHLON CLUB SEURROIS</t>
  </si>
  <si>
    <t>LOUDOT</t>
  </si>
  <si>
    <t>THIBAULT</t>
  </si>
  <si>
    <t>BERTHELIER</t>
  </si>
  <si>
    <t>PATRICIA</t>
  </si>
  <si>
    <t>REBILLARD</t>
  </si>
  <si>
    <t>JEAN LUC</t>
  </si>
  <si>
    <t>MISSET</t>
  </si>
  <si>
    <t>SANDRINE</t>
  </si>
  <si>
    <t>JOHA</t>
  </si>
  <si>
    <t>DELILLE</t>
  </si>
  <si>
    <t>ROSE</t>
  </si>
  <si>
    <t>PORTE</t>
  </si>
  <si>
    <t>ADOL</t>
  </si>
  <si>
    <t>CERISIER</t>
  </si>
  <si>
    <t>ELENA</t>
  </si>
  <si>
    <t>ROUILLE</t>
  </si>
  <si>
    <t>CAROLINE</t>
  </si>
  <si>
    <t>WATELET</t>
  </si>
  <si>
    <t>ETIENNE</t>
  </si>
  <si>
    <t>CHAPPUIS</t>
  </si>
  <si>
    <t>FABRICE</t>
  </si>
  <si>
    <t>DELORIEUX</t>
  </si>
  <si>
    <t>BARBERET</t>
  </si>
  <si>
    <t>ASVBD JOGGING</t>
  </si>
  <si>
    <t>TARDIF</t>
  </si>
  <si>
    <t>AUDEY</t>
  </si>
  <si>
    <t>SULLIOT MALOT</t>
  </si>
  <si>
    <t>HONORINE</t>
  </si>
  <si>
    <t>RICHARD</t>
  </si>
  <si>
    <t>CONTANT</t>
  </si>
  <si>
    <t>NIGLAS</t>
  </si>
  <si>
    <t>DRICOT</t>
  </si>
  <si>
    <t>BENOIT</t>
  </si>
  <si>
    <t>PRINET</t>
  </si>
  <si>
    <t>NAGEOTTE</t>
  </si>
  <si>
    <t>DRU</t>
  </si>
  <si>
    <t>POUSSIER</t>
  </si>
  <si>
    <t>ALIX</t>
  </si>
  <si>
    <t>JACQUINET-COU</t>
  </si>
  <si>
    <t>ARMELLE</t>
  </si>
  <si>
    <t>CATHERINE</t>
  </si>
  <si>
    <t>POITREAU</t>
  </si>
  <si>
    <t>HORIOT</t>
  </si>
  <si>
    <t>PASCALINE</t>
  </si>
  <si>
    <t>CHU DIJON</t>
  </si>
  <si>
    <t>CHARLOT</t>
  </si>
  <si>
    <t>JEAN-MICHEL</t>
  </si>
  <si>
    <t>FLORIAN</t>
  </si>
  <si>
    <t>DACLIN</t>
  </si>
  <si>
    <t>OPHELIE</t>
  </si>
  <si>
    <t>RAPHAËL</t>
  </si>
  <si>
    <t>BOURGEOIS</t>
  </si>
  <si>
    <t>AC21</t>
  </si>
  <si>
    <t>DUPONT</t>
  </si>
  <si>
    <t>RENE</t>
  </si>
  <si>
    <t>V4</t>
  </si>
  <si>
    <t>SABRE</t>
  </si>
  <si>
    <t>SOUILLOT</t>
  </si>
  <si>
    <t>HERBERT</t>
  </si>
  <si>
    <t>ROLANDE</t>
  </si>
  <si>
    <t>CORDEY</t>
  </si>
  <si>
    <t>MAUD</t>
  </si>
  <si>
    <t>AUCANOT</t>
  </si>
  <si>
    <t>LACROIX</t>
  </si>
  <si>
    <t>CHARON</t>
  </si>
  <si>
    <t>GENION</t>
  </si>
  <si>
    <t xml:space="preserve">FORESTIER </t>
  </si>
  <si>
    <t>LAURE</t>
  </si>
  <si>
    <t>MACAIRE</t>
  </si>
  <si>
    <t>XAVIER</t>
  </si>
  <si>
    <t>SCHLICH</t>
  </si>
  <si>
    <t>DELGRANDE</t>
  </si>
  <si>
    <t>CECILE</t>
  </si>
  <si>
    <t>ANNE CLAUDE</t>
  </si>
  <si>
    <t>ARBEZ</t>
  </si>
  <si>
    <t>BAROCHI</t>
  </si>
  <si>
    <t>JACQUES</t>
  </si>
  <si>
    <t>VARREAUX</t>
  </si>
  <si>
    <t>COUCHOUX</t>
  </si>
  <si>
    <t>GRANJOUAN</t>
  </si>
  <si>
    <t>AURELIE</t>
  </si>
  <si>
    <t>VIGREUX</t>
  </si>
  <si>
    <t>PREGNON</t>
  </si>
  <si>
    <t>MARJORIE</t>
  </si>
  <si>
    <t>GRAND CHALON ATHLESTISME</t>
  </si>
  <si>
    <t>ANAIS</t>
  </si>
  <si>
    <t>ROUX</t>
  </si>
  <si>
    <t>GUERILLOT</t>
  </si>
  <si>
    <t>ZETOUTOU</t>
  </si>
  <si>
    <t>NORDINE</t>
  </si>
  <si>
    <t>LEDOUX</t>
  </si>
  <si>
    <t>TINGUELY HEZARD</t>
  </si>
  <si>
    <t>LISON</t>
  </si>
  <si>
    <t>LDN</t>
  </si>
  <si>
    <t>SAULNIER</t>
  </si>
  <si>
    <t>LIONEL</t>
  </si>
  <si>
    <t>JAFFIOL</t>
  </si>
  <si>
    <t>MOULIN</t>
  </si>
  <si>
    <t>PIERRICK</t>
  </si>
  <si>
    <t>BOUVIER</t>
  </si>
  <si>
    <t>FRANCIS</t>
  </si>
  <si>
    <t>ASPTT ATHLETISME</t>
  </si>
  <si>
    <t>MORGANE</t>
  </si>
  <si>
    <t>DROMARD</t>
  </si>
  <si>
    <t>BURGAIN</t>
  </si>
  <si>
    <t>CHEVILLON</t>
  </si>
  <si>
    <t>ALEXANDRA</t>
  </si>
  <si>
    <t>DUFOUR</t>
  </si>
  <si>
    <t>COURSE</t>
  </si>
  <si>
    <t>CASTEX</t>
  </si>
  <si>
    <t>DESQUINS</t>
  </si>
  <si>
    <t>BONNARD</t>
  </si>
  <si>
    <t>JOUROT</t>
  </si>
  <si>
    <t>BOISSARD</t>
  </si>
  <si>
    <t>ANNIE PIERRE</t>
  </si>
  <si>
    <t>GUILLORE</t>
  </si>
  <si>
    <t>DORME</t>
  </si>
  <si>
    <t>VALERIE</t>
  </si>
  <si>
    <t>MERCIER</t>
  </si>
  <si>
    <t>SAMUEL</t>
  </si>
  <si>
    <t>BOULEY</t>
  </si>
  <si>
    <t>SANTOS</t>
  </si>
  <si>
    <t>MAGALIE</t>
  </si>
  <si>
    <t>ESCARGOTS21</t>
  </si>
  <si>
    <t>MICHAUD</t>
  </si>
  <si>
    <t>MEOT</t>
  </si>
  <si>
    <t>ASBVD CK</t>
  </si>
  <si>
    <t>MORHAIN</t>
  </si>
  <si>
    <t>LINE</t>
  </si>
  <si>
    <t>BONNIN</t>
  </si>
  <si>
    <t>TRAPET</t>
  </si>
  <si>
    <t>DELIC</t>
  </si>
  <si>
    <t>SLAVICA</t>
  </si>
  <si>
    <t>RACLOT</t>
  </si>
  <si>
    <t>ROCHETTE</t>
  </si>
  <si>
    <t>MEILLER</t>
  </si>
  <si>
    <t>THEOPHANE</t>
  </si>
  <si>
    <t>RABOUH</t>
  </si>
  <si>
    <t>MELANIE</t>
  </si>
  <si>
    <t>BOULMIER</t>
  </si>
  <si>
    <t>ELEONORE</t>
  </si>
  <si>
    <t>VERNIER</t>
  </si>
  <si>
    <t>KARL</t>
  </si>
  <si>
    <t>ZAMBON</t>
  </si>
  <si>
    <t>CHRISTELLE</t>
  </si>
  <si>
    <t>ANNE</t>
  </si>
  <si>
    <t>KARINE</t>
  </si>
  <si>
    <t>CURCI</t>
  </si>
  <si>
    <t>GOUNORD</t>
  </si>
  <si>
    <t>VILLEDIEU</t>
  </si>
  <si>
    <t>FREREJACQUES</t>
  </si>
  <si>
    <t>JEAN MARIE</t>
  </si>
  <si>
    <t>FAVIER</t>
  </si>
  <si>
    <t>ANNICK</t>
  </si>
  <si>
    <t>BARD</t>
  </si>
  <si>
    <t>MARYLISE</t>
  </si>
  <si>
    <t>FEUVRIER</t>
  </si>
  <si>
    <t>FAIVRET</t>
  </si>
  <si>
    <t>DUFRESNE</t>
  </si>
  <si>
    <t>LARCIER</t>
  </si>
  <si>
    <t>VERONIQUE</t>
  </si>
  <si>
    <t>MAROT</t>
  </si>
  <si>
    <t>GENAY</t>
  </si>
  <si>
    <t>NADINE</t>
  </si>
  <si>
    <t>RUNNING CLUB DIJONNAIS</t>
  </si>
  <si>
    <t>VALLAZ</t>
  </si>
  <si>
    <t>FOULEE CHATILLONNAISE</t>
  </si>
  <si>
    <t>MOREL</t>
  </si>
  <si>
    <t>ANNABELLE</t>
  </si>
  <si>
    <t>PRIN</t>
  </si>
  <si>
    <t>HAUTOT</t>
  </si>
  <si>
    <t>KEKE DU BOCAGE</t>
  </si>
  <si>
    <t>PHILIBERT</t>
  </si>
  <si>
    <t>MERKEL</t>
  </si>
  <si>
    <t>JEAN-SEBASTIEN</t>
  </si>
  <si>
    <t>BAYON</t>
  </si>
  <si>
    <t>CORINNE</t>
  </si>
  <si>
    <t>A FCSENEGAZELLE</t>
  </si>
  <si>
    <t>VIOLLON</t>
  </si>
  <si>
    <t>MIREILLE</t>
  </si>
  <si>
    <t>GABRIELLE</t>
  </si>
  <si>
    <t>PETRELLA</t>
  </si>
  <si>
    <t>JEANNIN</t>
  </si>
  <si>
    <t>REMI</t>
  </si>
  <si>
    <t>SAULAY</t>
  </si>
  <si>
    <t>FREDERIQUE</t>
  </si>
  <si>
    <t>CHAPET</t>
  </si>
  <si>
    <t>MARTINE</t>
  </si>
  <si>
    <t>JOVOVIC</t>
  </si>
  <si>
    <t>MULTISPORTS ST JO</t>
  </si>
  <si>
    <t>DELAPORTE</t>
  </si>
  <si>
    <t>DAUVERT</t>
  </si>
  <si>
    <t>ANNE SOPHIE</t>
  </si>
  <si>
    <t>BOMPY</t>
  </si>
  <si>
    <t>FRANCOISE</t>
  </si>
  <si>
    <t>VARIN</t>
  </si>
  <si>
    <t>GUY</t>
  </si>
  <si>
    <t>ADCO 21</t>
  </si>
  <si>
    <t>5'0''</t>
  </si>
  <si>
    <t>zones de travail (fcmin, fcmax)</t>
  </si>
  <si>
    <t>151-158</t>
  </si>
  <si>
    <t>160-167</t>
  </si>
  <si>
    <t>177-181</t>
  </si>
  <si>
    <t>temps au kilo (ajouter formule)</t>
  </si>
</sst>
</file>

<file path=xl/styles.xml><?xml version="1.0" encoding="utf-8"?>
<styleSheet xmlns="http://schemas.openxmlformats.org/spreadsheetml/2006/main" xmlns:mc="http://schemas.openxmlformats.org/markup-compatibility/2006" xmlns:x14ac="http://schemas.microsoft.com/office/spreadsheetml/2009/9/ac" mc:Ignorable="x14ac">
  <numFmts count="34">
    <numFmt numFmtId="164" formatCode="_-* #,##0.00\ &quot;€&quot;_-;\-* #,##0.00\ &quot;€&quot;_-;_-* &quot;-&quot;??\ &quot;€&quot;_-;_-@_-"/>
    <numFmt numFmtId="165" formatCode="[$-40C]d\ mmmm\ yyyy;@"/>
    <numFmt numFmtId="166" formatCode="dd/mm/yy;@"/>
    <numFmt numFmtId="167" formatCode="[$-40C]mmmmm;@"/>
    <numFmt numFmtId="168" formatCode="00"/>
    <numFmt numFmtId="169" formatCode="0.00\ \k\m\/\h"/>
    <numFmt numFmtId="170" formatCode="d/m/yy"/>
    <numFmt numFmtId="171" formatCode="0\ \a\n\s"/>
    <numFmt numFmtId="172" formatCode="0%\ \e\t\ \+"/>
    <numFmt numFmtId="173" formatCode="0.0"/>
    <numFmt numFmtId="174" formatCode="0\ \m\i\n"/>
    <numFmt numFmtId="175" formatCode="\&lt;##.#\ \k\m"/>
    <numFmt numFmtId="176" formatCode="\&lt;##0\ \m"/>
    <numFmt numFmtId="177" formatCode="##0\ \m"/>
    <numFmt numFmtId="178" formatCode="0.0\ \k\m"/>
    <numFmt numFmtId="179" formatCode="0\ \k\m"/>
    <numFmt numFmtId="180" formatCode="d\-mmm\-yy"/>
    <numFmt numFmtId="181" formatCode="#,##0\ \m\."/>
    <numFmt numFmtId="182" formatCode="00.0\ \k\m\/\h"/>
    <numFmt numFmtId="183" formatCode="0.0\ \k\m\/\h"/>
    <numFmt numFmtId="184" formatCode="#,##0\ \m"/>
    <numFmt numFmtId="185" formatCode="00\ \s"/>
    <numFmt numFmtId="186" formatCode="0\ \p\u\l\s\a\t\i\o\n\s"/>
    <numFmt numFmtId="187" formatCode="0\ \m"/>
    <numFmt numFmtId="188" formatCode="#,##0.00\ \k\m"/>
    <numFmt numFmtId="189" formatCode="#,##0.0\ \k\m"/>
    <numFmt numFmtId="190" formatCode="0\ \m\/\k\m"/>
    <numFmt numFmtId="191" formatCode="0.00000"/>
    <numFmt numFmtId="192" formatCode="[$-409]d\-mmm\-yyyy;@"/>
    <numFmt numFmtId="193" formatCode="####0\ &quot;m&quot;"/>
    <numFmt numFmtId="194" formatCode="yyyy/mm/dd"/>
    <numFmt numFmtId="195" formatCode="h:mm:ss;@"/>
    <numFmt numFmtId="196" formatCode="00\'00\'\'"/>
    <numFmt numFmtId="197" formatCode="[h]&quot;h&quot;\ m&quot;m&quot;\ s&quot;s&quot;"/>
  </numFmts>
  <fonts count="50" x14ac:knownFonts="1">
    <font>
      <sz val="10"/>
      <name val="Arial"/>
    </font>
    <font>
      <sz val="12"/>
      <color theme="1"/>
      <name val="Calibri"/>
      <family val="2"/>
      <scheme val="minor"/>
    </font>
    <font>
      <sz val="10"/>
      <name val="Arial"/>
    </font>
    <font>
      <b/>
      <sz val="11"/>
      <name val="Arial"/>
    </font>
    <font>
      <sz val="11"/>
      <name val="Arial"/>
    </font>
    <font>
      <sz val="18"/>
      <name val="Times New Roman"/>
    </font>
    <font>
      <sz val="11"/>
      <name val="Arial"/>
    </font>
    <font>
      <u/>
      <sz val="10"/>
      <color theme="10"/>
      <name val="Arial"/>
    </font>
    <font>
      <u/>
      <sz val="10"/>
      <color theme="11"/>
      <name val="Arial"/>
    </font>
    <font>
      <b/>
      <sz val="14"/>
      <name val="Arial"/>
      <family val="2"/>
    </font>
    <font>
      <b/>
      <sz val="10"/>
      <name val="Arial"/>
    </font>
    <font>
      <sz val="10"/>
      <color theme="0"/>
      <name val="Arial"/>
    </font>
    <font>
      <b/>
      <sz val="13"/>
      <name val="Arial"/>
      <family val="2"/>
    </font>
    <font>
      <b/>
      <u/>
      <sz val="10"/>
      <name val="Arial"/>
    </font>
    <font>
      <i/>
      <sz val="10"/>
      <name val="Arial"/>
      <family val="2"/>
    </font>
    <font>
      <u/>
      <sz val="10"/>
      <color indexed="12"/>
      <name val="Arial"/>
      <family val="2"/>
    </font>
    <font>
      <b/>
      <u/>
      <sz val="11"/>
      <color indexed="12"/>
      <name val="Arial"/>
      <family val="2"/>
    </font>
    <font>
      <b/>
      <sz val="10"/>
      <color indexed="57"/>
      <name val="Arial"/>
      <family val="2"/>
    </font>
    <font>
      <b/>
      <u/>
      <sz val="10"/>
      <color indexed="12"/>
      <name val="Arial"/>
      <family val="2"/>
    </font>
    <font>
      <b/>
      <sz val="12"/>
      <name val="Arial"/>
    </font>
    <font>
      <b/>
      <sz val="18"/>
      <name val="Arial"/>
      <family val="2"/>
    </font>
    <font>
      <b/>
      <sz val="16"/>
      <name val="Arial"/>
    </font>
    <font>
      <sz val="9"/>
      <name val="Arial"/>
    </font>
    <font>
      <b/>
      <sz val="9"/>
      <name val="Arial"/>
    </font>
    <font>
      <sz val="10"/>
      <name val="Arial Black"/>
      <family val="2"/>
    </font>
    <font>
      <sz val="8"/>
      <color indexed="81"/>
      <name val="Tahoma"/>
      <family val="2"/>
    </font>
    <font>
      <b/>
      <sz val="18"/>
      <color indexed="62"/>
      <name val="Cambria"/>
      <family val="2"/>
    </font>
    <font>
      <b/>
      <sz val="11"/>
      <color indexed="9"/>
      <name val="Calibri"/>
      <family val="2"/>
    </font>
    <font>
      <b/>
      <sz val="10"/>
      <color indexed="10"/>
      <name val="Arial"/>
    </font>
    <font>
      <u/>
      <sz val="10"/>
      <name val="Arial"/>
    </font>
    <font>
      <sz val="10"/>
      <color indexed="57"/>
      <name val="Arial"/>
    </font>
    <font>
      <b/>
      <sz val="10"/>
      <color theme="0"/>
      <name val="Arial"/>
    </font>
    <font>
      <b/>
      <u/>
      <sz val="20"/>
      <color indexed="12"/>
      <name val="Arial"/>
      <family val="2"/>
    </font>
    <font>
      <b/>
      <u/>
      <sz val="13"/>
      <color indexed="12"/>
      <name val="Arial"/>
      <family val="2"/>
    </font>
    <font>
      <b/>
      <sz val="22"/>
      <name val="Arial"/>
      <family val="2"/>
    </font>
    <font>
      <b/>
      <u/>
      <sz val="14"/>
      <color indexed="20"/>
      <name val="Arial"/>
      <family val="2"/>
    </font>
    <font>
      <b/>
      <sz val="12"/>
      <color theme="0"/>
      <name val="Arial"/>
    </font>
    <font>
      <sz val="10"/>
      <color indexed="206"/>
      <name val="Arial"/>
    </font>
    <font>
      <b/>
      <sz val="12"/>
      <color theme="1"/>
      <name val="Arial"/>
    </font>
    <font>
      <sz val="10"/>
      <color theme="1"/>
      <name val="Arial"/>
    </font>
    <font>
      <b/>
      <sz val="10"/>
      <color theme="0"/>
      <name val="Helvetica"/>
    </font>
    <font>
      <b/>
      <sz val="12"/>
      <color theme="0"/>
      <name val="Calibri"/>
    </font>
    <font>
      <b/>
      <sz val="12"/>
      <color theme="0"/>
      <name val="Calibri"/>
      <family val="2"/>
      <scheme val="minor"/>
    </font>
    <font>
      <b/>
      <sz val="16"/>
      <color theme="1"/>
      <name val="Calibri"/>
      <scheme val="minor"/>
    </font>
    <font>
      <b/>
      <sz val="14"/>
      <color theme="1"/>
      <name val="Calibri"/>
      <scheme val="minor"/>
    </font>
    <font>
      <sz val="12"/>
      <color indexed="8"/>
      <name val="Calibri"/>
    </font>
    <font>
      <sz val="10"/>
      <color indexed="8"/>
      <name val="Helvetica"/>
    </font>
    <font>
      <sz val="16"/>
      <name val="Arial"/>
    </font>
    <font>
      <b/>
      <sz val="16"/>
      <color theme="0"/>
      <name val="Arial"/>
    </font>
    <font>
      <b/>
      <u/>
      <sz val="16"/>
      <color indexed="12"/>
      <name val="Arial"/>
    </font>
  </fonts>
  <fills count="26">
    <fill>
      <patternFill patternType="none"/>
    </fill>
    <fill>
      <patternFill patternType="gray125"/>
    </fill>
    <fill>
      <patternFill patternType="solid">
        <fgColor indexed="51"/>
        <bgColor indexed="64"/>
      </patternFill>
    </fill>
    <fill>
      <patternFill patternType="solid">
        <fgColor rgb="FFFEC709"/>
        <bgColor indexed="64"/>
      </patternFill>
    </fill>
    <fill>
      <patternFill patternType="solid">
        <fgColor rgb="FF3366FF"/>
        <bgColor indexed="64"/>
      </patternFill>
    </fill>
    <fill>
      <patternFill patternType="solid">
        <fgColor indexed="42"/>
        <bgColor indexed="64"/>
      </patternFill>
    </fill>
    <fill>
      <patternFill patternType="solid">
        <fgColor indexed="50"/>
        <bgColor indexed="64"/>
      </patternFill>
    </fill>
    <fill>
      <patternFill patternType="solid">
        <fgColor indexed="44"/>
        <bgColor indexed="64"/>
      </patternFill>
    </fill>
    <fill>
      <patternFill patternType="solid">
        <fgColor indexed="47"/>
        <bgColor indexed="64"/>
      </patternFill>
    </fill>
    <fill>
      <patternFill patternType="solid">
        <fgColor indexed="52"/>
        <bgColor indexed="64"/>
      </patternFill>
    </fill>
    <fill>
      <patternFill patternType="solid">
        <fgColor indexed="53"/>
        <bgColor indexed="64"/>
      </patternFill>
    </fill>
    <fill>
      <patternFill patternType="solid">
        <fgColor indexed="22"/>
        <bgColor indexed="64"/>
      </patternFill>
    </fill>
    <fill>
      <patternFill patternType="solid">
        <fgColor indexed="26"/>
      </patternFill>
    </fill>
    <fill>
      <patternFill patternType="solid">
        <fgColor indexed="46"/>
        <bgColor indexed="64"/>
      </patternFill>
    </fill>
    <fill>
      <patternFill patternType="solid">
        <fgColor indexed="55"/>
      </patternFill>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45"/>
        <bgColor indexed="64"/>
      </patternFill>
    </fill>
    <fill>
      <patternFill patternType="solid">
        <fgColor rgb="FFFC3308"/>
        <bgColor indexed="64"/>
      </patternFill>
    </fill>
    <fill>
      <patternFill patternType="solid">
        <fgColor rgb="FFFFCC00"/>
        <bgColor rgb="FF000000"/>
      </patternFill>
    </fill>
    <fill>
      <patternFill patternType="solid">
        <fgColor rgb="FFFFFF00"/>
        <bgColor indexed="64"/>
      </patternFill>
    </fill>
    <fill>
      <patternFill patternType="solid">
        <fgColor rgb="FF15FF27"/>
        <bgColor indexed="64"/>
      </patternFill>
    </fill>
    <fill>
      <patternFill patternType="solid">
        <fgColor rgb="FF0000FF"/>
        <bgColor indexed="64"/>
      </patternFill>
    </fill>
    <fill>
      <patternFill patternType="solid">
        <fgColor rgb="FFF08A09"/>
        <bgColor indexed="64"/>
      </patternFill>
    </fill>
    <fill>
      <patternFill patternType="solid">
        <fgColor rgb="FF00FF00"/>
        <bgColor indexed="64"/>
      </patternFill>
    </fill>
  </fills>
  <borders count="59">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medium">
        <color auto="1"/>
      </right>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medium">
        <color auto="1"/>
      </right>
      <top style="thin">
        <color auto="1"/>
      </top>
      <bottom/>
      <diagonal/>
    </border>
    <border>
      <left style="medium">
        <color auto="1"/>
      </left>
      <right/>
      <top style="thin">
        <color auto="1"/>
      </top>
      <bottom style="thin">
        <color auto="1"/>
      </bottom>
      <diagonal/>
    </border>
    <border>
      <left/>
      <right/>
      <top style="thin">
        <color auto="1"/>
      </top>
      <bottom/>
      <diagonal/>
    </border>
    <border>
      <left style="medium">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n">
        <color auto="1"/>
      </left>
      <right/>
      <top style="thick">
        <color auto="1"/>
      </top>
      <bottom/>
      <diagonal/>
    </border>
    <border>
      <left/>
      <right style="medium">
        <color auto="1"/>
      </right>
      <top style="thick">
        <color auto="1"/>
      </top>
      <bottom/>
      <diagonal/>
    </border>
    <border>
      <left/>
      <right style="thin">
        <color auto="1"/>
      </right>
      <top style="thick">
        <color auto="1"/>
      </top>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style="dashed">
        <color auto="1"/>
      </right>
      <top/>
      <bottom style="medium">
        <color auto="1"/>
      </bottom>
      <diagonal/>
    </border>
    <border>
      <left style="dashed">
        <color auto="1"/>
      </left>
      <right style="medium">
        <color auto="1"/>
      </right>
      <top/>
      <bottom style="medium">
        <color auto="1"/>
      </bottom>
      <diagonal/>
    </border>
    <border>
      <left style="dashed">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ck">
        <color auto="1"/>
      </top>
      <bottom style="thick">
        <color auto="1"/>
      </bottom>
      <diagonal/>
    </border>
    <border>
      <left/>
      <right style="thick">
        <color auto="1"/>
      </right>
      <top style="medium">
        <color auto="1"/>
      </top>
      <bottom style="medium">
        <color auto="1"/>
      </bottom>
      <diagonal/>
    </border>
    <border>
      <left style="thick">
        <color auto="1"/>
      </left>
      <right style="thick">
        <color auto="1"/>
      </right>
      <top style="thick">
        <color auto="1"/>
      </top>
      <bottom style="thick">
        <color auto="1"/>
      </bottom>
      <diagonal/>
    </border>
    <border>
      <left style="thick">
        <color indexed="8"/>
      </left>
      <right/>
      <top/>
      <bottom/>
      <diagonal/>
    </border>
    <border>
      <left/>
      <right/>
      <top style="thick">
        <color auto="1"/>
      </top>
      <bottom/>
      <diagonal/>
    </border>
  </borders>
  <cellStyleXfs count="38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5" fillId="0" borderId="0" applyNumberFormat="0" applyFill="0" applyBorder="0" applyAlignment="0" applyProtection="0">
      <alignment vertical="top"/>
      <protection locked="0"/>
    </xf>
    <xf numFmtId="0" fontId="2" fillId="12" borderId="47" applyNumberFormat="0" applyFont="0" applyAlignment="0" applyProtection="0"/>
    <xf numFmtId="164" fontId="2" fillId="0" borderId="0" applyFont="0" applyFill="0" applyBorder="0" applyAlignment="0" applyProtection="0"/>
    <xf numFmtId="0" fontId="2" fillId="0" borderId="0"/>
    <xf numFmtId="181" fontId="10" fillId="13" borderId="8" applyBorder="0">
      <alignment horizontal="center" shrinkToFit="1"/>
      <protection hidden="1"/>
    </xf>
    <xf numFmtId="181" fontId="10" fillId="13" borderId="8" applyBorder="0">
      <alignment horizontal="center" shrinkToFit="1"/>
      <protection hidden="1"/>
    </xf>
    <xf numFmtId="0" fontId="26" fillId="0" borderId="0" applyNumberFormat="0" applyFill="0" applyBorder="0" applyAlignment="0" applyProtection="0"/>
    <xf numFmtId="0" fontId="27" fillId="14" borderId="48" applyNumberFormat="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91">
    <xf numFmtId="0" fontId="2" fillId="0" borderId="0" xfId="0" applyFont="1" applyAlignment="1">
      <alignment vertical="top"/>
    </xf>
    <xf numFmtId="0" fontId="3" fillId="0" borderId="1" xfId="0" applyFont="1" applyBorder="1" applyAlignment="1">
      <alignment horizontal="center" vertical="top"/>
    </xf>
    <xf numFmtId="14" fontId="2" fillId="0" borderId="0" xfId="0" applyNumberFormat="1" applyFont="1" applyAlignment="1">
      <alignment vertical="top"/>
    </xf>
    <xf numFmtId="0" fontId="2" fillId="0" borderId="0" xfId="0" applyFont="1" applyAlignment="1">
      <alignment horizontal="center" vertical="center"/>
    </xf>
    <xf numFmtId="0" fontId="0"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4" fillId="0" borderId="1" xfId="0" applyFont="1" applyBorder="1" applyAlignment="1">
      <alignment horizontal="center" vertical="top" wrapText="1"/>
    </xf>
    <xf numFmtId="0" fontId="4" fillId="0" borderId="1" xfId="0" applyFont="1" applyBorder="1" applyAlignment="1">
      <alignment horizontal="center" wrapText="1"/>
    </xf>
    <xf numFmtId="0" fontId="0" fillId="3" borderId="1" xfId="0" applyFont="1" applyFill="1" applyBorder="1" applyAlignment="1">
      <alignment horizontal="center" vertical="center"/>
    </xf>
    <xf numFmtId="0" fontId="3" fillId="3" borderId="1" xfId="0" applyFont="1" applyFill="1" applyBorder="1" applyAlignment="1">
      <alignment horizontal="center"/>
    </xf>
    <xf numFmtId="0" fontId="5" fillId="0" borderId="1" xfId="0" applyFont="1" applyBorder="1" applyAlignment="1">
      <alignment horizontal="center"/>
    </xf>
    <xf numFmtId="0" fontId="6" fillId="0" borderId="1" xfId="0" applyFont="1" applyBorder="1" applyAlignment="1">
      <alignment horizontal="center" vertical="top"/>
    </xf>
    <xf numFmtId="0" fontId="6" fillId="0" borderId="1" xfId="0" applyFont="1" applyBorder="1" applyAlignment="1">
      <alignment horizontal="center"/>
    </xf>
    <xf numFmtId="0" fontId="2" fillId="0" borderId="0" xfId="0" applyFont="1" applyAlignment="1">
      <alignment horizontal="center" vertical="top"/>
    </xf>
    <xf numFmtId="165" fontId="0" fillId="0" borderId="1" xfId="0" applyNumberFormat="1" applyFont="1" applyBorder="1" applyAlignment="1">
      <alignment horizontal="center" vertical="center"/>
    </xf>
    <xf numFmtId="0" fontId="0" fillId="0" borderId="0" xfId="0" applyFont="1" applyAlignment="1">
      <alignment vertical="top"/>
    </xf>
    <xf numFmtId="0" fontId="0" fillId="0" borderId="1" xfId="0" applyFont="1" applyBorder="1" applyAlignment="1">
      <alignment horizontal="center" vertical="top"/>
    </xf>
    <xf numFmtId="0" fontId="10" fillId="3" borderId="1" xfId="0" applyFont="1" applyFill="1" applyBorder="1" applyAlignment="1">
      <alignment horizontal="center" vertical="center"/>
    </xf>
    <xf numFmtId="0" fontId="0" fillId="0" borderId="0" xfId="0" applyFont="1" applyAlignment="1">
      <alignment horizontal="center" vertical="center"/>
    </xf>
    <xf numFmtId="167" fontId="3" fillId="3" borderId="1" xfId="0" applyNumberFormat="1" applyFont="1" applyFill="1" applyBorder="1" applyAlignment="1">
      <alignment horizontal="center"/>
    </xf>
    <xf numFmtId="166" fontId="2" fillId="0" borderId="0" xfId="0" applyNumberFormat="1" applyFont="1" applyAlignment="1">
      <alignment horizontal="center" vertical="center"/>
    </xf>
    <xf numFmtId="0" fontId="2" fillId="0" borderId="1" xfId="0" applyFont="1" applyBorder="1" applyAlignment="1">
      <alignment vertical="top"/>
    </xf>
    <xf numFmtId="0" fontId="0" fillId="0" borderId="1" xfId="0" applyFont="1" applyBorder="1" applyAlignment="1">
      <alignment vertical="top"/>
    </xf>
    <xf numFmtId="0" fontId="10" fillId="3" borderId="8" xfId="0" applyFont="1" applyFill="1" applyBorder="1" applyAlignment="1">
      <alignment horizontal="center" vertical="center"/>
    </xf>
    <xf numFmtId="0" fontId="0" fillId="0" borderId="1" xfId="0" applyFont="1" applyBorder="1" applyAlignment="1">
      <alignment horizontal="left"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166" fontId="0"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10" fillId="3" borderId="8" xfId="0" applyFont="1" applyFill="1" applyBorder="1" applyAlignment="1">
      <alignment vertical="center"/>
    </xf>
    <xf numFmtId="0" fontId="10" fillId="3" borderId="9" xfId="0" applyFont="1" applyFill="1" applyBorder="1" applyAlignment="1">
      <alignment vertical="center"/>
    </xf>
    <xf numFmtId="165" fontId="11" fillId="4" borderId="1" xfId="0" applyNumberFormat="1" applyFont="1" applyFill="1" applyBorder="1" applyAlignment="1">
      <alignment horizontal="center" vertical="center"/>
    </xf>
    <xf numFmtId="0" fontId="0" fillId="0" borderId="1" xfId="0" applyNumberFormat="1" applyFont="1" applyBorder="1" applyAlignment="1">
      <alignment horizontal="center" vertical="center"/>
    </xf>
    <xf numFmtId="0" fontId="0" fillId="0" borderId="0" xfId="0" applyProtection="1">
      <protection hidden="1"/>
    </xf>
    <xf numFmtId="0" fontId="13" fillId="0" borderId="0" xfId="0" applyFont="1" applyProtection="1">
      <protection hidden="1"/>
    </xf>
    <xf numFmtId="0" fontId="10" fillId="0" borderId="0" xfId="0" applyFont="1" applyProtection="1">
      <protection hidden="1"/>
    </xf>
    <xf numFmtId="0" fontId="0" fillId="0" borderId="0" xfId="0" applyAlignment="1" applyProtection="1">
      <protection hidden="1"/>
    </xf>
    <xf numFmtId="0" fontId="2" fillId="0" borderId="5" xfId="0" applyFont="1" applyBorder="1" applyAlignment="1" applyProtection="1">
      <alignment horizontal="center"/>
      <protection hidden="1"/>
    </xf>
    <xf numFmtId="0" fontId="0" fillId="5" borderId="1" xfId="0" applyFill="1" applyBorder="1" applyProtection="1">
      <protection locked="0"/>
    </xf>
    <xf numFmtId="168" fontId="0" fillId="5" borderId="1" xfId="0" applyNumberFormat="1" applyFill="1" applyBorder="1" applyProtection="1">
      <protection locked="0"/>
    </xf>
    <xf numFmtId="168" fontId="0" fillId="0" borderId="0" xfId="0" applyNumberFormat="1" applyProtection="1">
      <protection hidden="1"/>
    </xf>
    <xf numFmtId="0" fontId="0" fillId="0" borderId="0" xfId="0" applyBorder="1" applyProtection="1">
      <protection hidden="1"/>
    </xf>
    <xf numFmtId="168" fontId="0" fillId="0" borderId="0" xfId="0" applyNumberFormat="1" applyBorder="1" applyProtection="1">
      <protection hidden="1"/>
    </xf>
    <xf numFmtId="0" fontId="0" fillId="7" borderId="1" xfId="0" applyFill="1" applyBorder="1" applyProtection="1">
      <protection hidden="1"/>
    </xf>
    <xf numFmtId="168" fontId="0" fillId="7" borderId="1" xfId="0" applyNumberFormat="1" applyFill="1" applyBorder="1" applyProtection="1">
      <protection hidden="1"/>
    </xf>
    <xf numFmtId="0" fontId="0" fillId="0" borderId="0" xfId="0" applyAlignment="1" applyProtection="1">
      <alignment horizontal="left"/>
      <protection hidden="1"/>
    </xf>
    <xf numFmtId="1" fontId="0" fillId="7" borderId="0" xfId="0" applyNumberFormat="1" applyFill="1" applyBorder="1" applyAlignment="1" applyProtection="1">
      <alignment horizontal="center"/>
      <protection hidden="1"/>
    </xf>
    <xf numFmtId="0" fontId="0" fillId="0" borderId="0" xfId="0" applyAlignment="1" applyProtection="1">
      <alignment horizontal="left" indent="1"/>
      <protection hidden="1"/>
    </xf>
    <xf numFmtId="1" fontId="10" fillId="7" borderId="1" xfId="0" applyNumberFormat="1" applyFont="1" applyFill="1" applyBorder="1" applyAlignment="1" applyProtection="1">
      <alignment horizontal="center"/>
      <protection hidden="1"/>
    </xf>
    <xf numFmtId="1" fontId="2" fillId="0" borderId="0" xfId="0" applyNumberFormat="1" applyFont="1" applyFill="1" applyBorder="1" applyAlignment="1" applyProtection="1">
      <alignment horizontal="left"/>
      <protection hidden="1"/>
    </xf>
    <xf numFmtId="1" fontId="10" fillId="0" borderId="0" xfId="0" applyNumberFormat="1" applyFont="1" applyFill="1" applyBorder="1" applyAlignment="1" applyProtection="1">
      <alignment horizontal="center"/>
      <protection hidden="1"/>
    </xf>
    <xf numFmtId="0" fontId="17" fillId="0" borderId="0" xfId="0" applyFont="1" applyProtection="1">
      <protection hidden="1"/>
    </xf>
    <xf numFmtId="1" fontId="2" fillId="0" borderId="0" xfId="0" applyNumberFormat="1" applyFont="1" applyFill="1" applyBorder="1" applyAlignment="1" applyProtection="1">
      <alignment horizontal="center"/>
      <protection hidden="1"/>
    </xf>
    <xf numFmtId="0" fontId="10" fillId="0" borderId="0" xfId="0" applyFont="1" applyAlignment="1" applyProtection="1">
      <alignment horizontal="left"/>
      <protection hidden="1"/>
    </xf>
    <xf numFmtId="0" fontId="10" fillId="0" borderId="0" xfId="0" applyFont="1" applyBorder="1" applyAlignment="1" applyProtection="1">
      <alignment horizontal="left"/>
      <protection hidden="1"/>
    </xf>
    <xf numFmtId="1" fontId="0" fillId="5" borderId="1" xfId="0" applyNumberFormat="1" applyFill="1" applyBorder="1" applyAlignment="1" applyProtection="1">
      <alignment horizontal="center"/>
      <protection locked="0"/>
    </xf>
    <xf numFmtId="0" fontId="0" fillId="0" borderId="0" xfId="0" applyAlignment="1" applyProtection="1">
      <alignment horizontal="right"/>
      <protection hidden="1"/>
    </xf>
    <xf numFmtId="0" fontId="18" fillId="0" borderId="0" xfId="95" applyFont="1" applyAlignment="1" applyProtection="1">
      <protection hidden="1"/>
    </xf>
    <xf numFmtId="171" fontId="0" fillId="8" borderId="1" xfId="0" applyNumberFormat="1" applyFill="1" applyBorder="1" applyAlignment="1" applyProtection="1">
      <alignment horizontal="center"/>
      <protection hidden="1"/>
    </xf>
    <xf numFmtId="1" fontId="0" fillId="7" borderId="1" xfId="0" applyNumberFormat="1" applyFill="1" applyBorder="1" applyAlignment="1" applyProtection="1">
      <alignment horizontal="center"/>
      <protection hidden="1"/>
    </xf>
    <xf numFmtId="0" fontId="0" fillId="0" borderId="0" xfId="0" quotePrefix="1" applyAlignment="1" applyProtection="1">
      <alignment horizontal="left"/>
      <protection hidden="1"/>
    </xf>
    <xf numFmtId="0" fontId="2" fillId="0" borderId="0" xfId="0" applyFont="1" applyProtection="1">
      <protection hidden="1"/>
    </xf>
    <xf numFmtId="0" fontId="13" fillId="0" borderId="0" xfId="0" quotePrefix="1" applyFont="1" applyAlignment="1" applyProtection="1">
      <alignment horizontal="left"/>
      <protection hidden="1"/>
    </xf>
    <xf numFmtId="0" fontId="0" fillId="0" borderId="0" xfId="0" applyAlignment="1" applyProtection="1">
      <alignment horizontal="center"/>
      <protection hidden="1"/>
    </xf>
    <xf numFmtId="0" fontId="0" fillId="0" borderId="0" xfId="0" applyAlignment="1" applyProtection="1">
      <alignment horizontal="left" wrapText="1"/>
      <protection hidden="1"/>
    </xf>
    <xf numFmtId="0" fontId="0" fillId="0" borderId="0" xfId="0" quotePrefix="1" applyFill="1" applyBorder="1" applyAlignment="1" applyProtection="1">
      <alignment horizontal="left"/>
      <protection hidden="1"/>
    </xf>
    <xf numFmtId="1" fontId="0" fillId="0" borderId="0" xfId="0" applyNumberFormat="1" applyFill="1" applyBorder="1" applyAlignment="1" applyProtection="1">
      <alignment horizontal="center"/>
      <protection hidden="1"/>
    </xf>
    <xf numFmtId="170" fontId="0" fillId="0" borderId="0" xfId="0" quotePrefix="1" applyNumberFormat="1" applyFill="1" applyBorder="1" applyAlignment="1" applyProtection="1">
      <alignment horizontal="center"/>
      <protection hidden="1"/>
    </xf>
    <xf numFmtId="170" fontId="0" fillId="0" borderId="0" xfId="0" applyNumberFormat="1" applyFill="1" applyBorder="1" applyAlignment="1" applyProtection="1">
      <alignment horizontal="center"/>
      <protection hidden="1"/>
    </xf>
    <xf numFmtId="0" fontId="0" fillId="0" borderId="0" xfId="0" applyBorder="1" applyAlignment="1" applyProtection="1">
      <alignment horizontal="left"/>
      <protection hidden="1"/>
    </xf>
    <xf numFmtId="1" fontId="0" fillId="5" borderId="1" xfId="0" applyNumberFormat="1" applyFill="1" applyBorder="1" applyAlignment="1" applyProtection="1">
      <alignment horizontal="center"/>
      <protection hidden="1"/>
    </xf>
    <xf numFmtId="0" fontId="0" fillId="0" borderId="0" xfId="0" applyFill="1" applyBorder="1" applyAlignment="1" applyProtection="1">
      <protection hidden="1"/>
    </xf>
    <xf numFmtId="0" fontId="19" fillId="0" borderId="0" xfId="0" applyFont="1" applyFill="1" applyBorder="1" applyAlignment="1" applyProtection="1">
      <alignment horizontal="center" vertical="top"/>
      <protection hidden="1"/>
    </xf>
    <xf numFmtId="0" fontId="0" fillId="0" borderId="0" xfId="0" applyBorder="1" applyAlignment="1" applyProtection="1">
      <alignment horizontal="center"/>
      <protection hidden="1"/>
    </xf>
    <xf numFmtId="0" fontId="19" fillId="10" borderId="16" xfId="0" applyFont="1" applyFill="1" applyBorder="1" applyAlignment="1" applyProtection="1">
      <alignment horizontal="center" vertical="top"/>
      <protection hidden="1"/>
    </xf>
    <xf numFmtId="0" fontId="19" fillId="10" borderId="20" xfId="0" applyFont="1" applyFill="1" applyBorder="1" applyAlignment="1" applyProtection="1">
      <alignment horizontal="center" vertical="top"/>
      <protection hidden="1"/>
    </xf>
    <xf numFmtId="0" fontId="19" fillId="10" borderId="19" xfId="0" applyFont="1" applyFill="1" applyBorder="1" applyAlignment="1" applyProtection="1">
      <alignment horizontal="center" vertical="top"/>
      <protection hidden="1"/>
    </xf>
    <xf numFmtId="172" fontId="0" fillId="0" borderId="0" xfId="0" applyNumberFormat="1" applyFill="1" applyBorder="1" applyAlignment="1" applyProtection="1">
      <alignment horizontal="center"/>
      <protection hidden="1"/>
    </xf>
    <xf numFmtId="173" fontId="0" fillId="0" borderId="0" xfId="0" applyNumberFormat="1" applyFill="1" applyBorder="1" applyAlignment="1" applyProtection="1">
      <alignment horizontal="center" vertical="center"/>
      <protection hidden="1"/>
    </xf>
    <xf numFmtId="0" fontId="0" fillId="0" borderId="0" xfId="0" applyAlignment="1" applyProtection="1">
      <alignment vertical="center"/>
      <protection hidden="1"/>
    </xf>
    <xf numFmtId="0" fontId="0" fillId="10" borderId="5" xfId="0" applyFill="1" applyBorder="1" applyAlignment="1" applyProtection="1">
      <alignment horizontal="center" vertical="center"/>
      <protection hidden="1"/>
    </xf>
    <xf numFmtId="0" fontId="0" fillId="0" borderId="0" xfId="0" applyFill="1" applyBorder="1" applyAlignment="1" applyProtection="1">
      <alignment horizontal="center" vertical="center"/>
      <protection hidden="1"/>
    </xf>
    <xf numFmtId="0" fontId="21" fillId="10" borderId="19" xfId="0" applyFont="1" applyFill="1" applyBorder="1" applyAlignment="1" applyProtection="1">
      <alignment horizontal="center" vertical="center"/>
      <protection hidden="1"/>
    </xf>
    <xf numFmtId="0" fontId="15" fillId="0" borderId="0" xfId="95" applyFill="1" applyBorder="1" applyAlignment="1" applyProtection="1">
      <alignment horizontal="center" vertical="center" shrinkToFit="1"/>
      <protection hidden="1"/>
    </xf>
    <xf numFmtId="178" fontId="10" fillId="0" borderId="0" xfId="0" applyNumberFormat="1" applyFont="1" applyFill="1" applyBorder="1" applyAlignment="1" applyProtection="1">
      <alignment horizontal="center" vertical="center" wrapText="1"/>
      <protection hidden="1"/>
    </xf>
    <xf numFmtId="179" fontId="10" fillId="5" borderId="1" xfId="0" applyNumberFormat="1" applyFont="1" applyFill="1" applyBorder="1" applyAlignment="1" applyProtection="1">
      <alignment horizontal="center" vertical="center" shrinkToFit="1"/>
      <protection locked="0"/>
    </xf>
    <xf numFmtId="1" fontId="4" fillId="8" borderId="41" xfId="0" applyNumberFormat="1" applyFont="1" applyFill="1" applyBorder="1" applyAlignment="1" applyProtection="1">
      <alignment horizontal="center" vertical="center" shrinkToFit="1"/>
      <protection hidden="1"/>
    </xf>
    <xf numFmtId="1" fontId="4" fillId="8" borderId="42" xfId="0" applyNumberFormat="1" applyFont="1" applyFill="1" applyBorder="1" applyAlignment="1" applyProtection="1">
      <alignment horizontal="center" vertical="center" shrinkToFit="1"/>
      <protection hidden="1"/>
    </xf>
    <xf numFmtId="0" fontId="4" fillId="0" borderId="0" xfId="0" applyFont="1" applyAlignment="1" applyProtection="1">
      <alignment vertical="center" shrinkToFit="1"/>
      <protection hidden="1"/>
    </xf>
    <xf numFmtId="1" fontId="4" fillId="2" borderId="41" xfId="0" applyNumberFormat="1" applyFont="1" applyFill="1" applyBorder="1" applyAlignment="1" applyProtection="1">
      <alignment horizontal="center" vertical="center" shrinkToFit="1"/>
      <protection hidden="1"/>
    </xf>
    <xf numFmtId="1" fontId="4" fillId="2" borderId="42" xfId="0" applyNumberFormat="1" applyFont="1" applyFill="1" applyBorder="1" applyAlignment="1" applyProtection="1">
      <alignment horizontal="center" vertical="center" shrinkToFit="1"/>
      <protection hidden="1"/>
    </xf>
    <xf numFmtId="0" fontId="4" fillId="10" borderId="43" xfId="0" applyFont="1" applyFill="1" applyBorder="1" applyAlignment="1" applyProtection="1">
      <alignment horizontal="center" vertical="center"/>
      <protection hidden="1"/>
    </xf>
    <xf numFmtId="0" fontId="0" fillId="0" borderId="0" xfId="0" applyFill="1" applyProtection="1">
      <protection hidden="1"/>
    </xf>
    <xf numFmtId="1" fontId="0" fillId="0" borderId="0" xfId="0" applyNumberFormat="1" applyFill="1" applyBorder="1" applyProtection="1">
      <protection hidden="1"/>
    </xf>
    <xf numFmtId="0" fontId="18" fillId="0" borderId="0" xfId="95" applyFont="1" applyFill="1" applyBorder="1" applyAlignment="1" applyProtection="1">
      <alignment horizontal="center" vertical="center"/>
      <protection hidden="1"/>
    </xf>
    <xf numFmtId="0" fontId="10" fillId="11" borderId="8" xfId="0" applyFont="1" applyFill="1" applyBorder="1" applyAlignment="1" applyProtection="1">
      <alignment horizontal="center" vertical="center"/>
      <protection hidden="1"/>
    </xf>
    <xf numFmtId="0" fontId="10" fillId="11" borderId="10" xfId="0" applyFont="1" applyFill="1" applyBorder="1" applyAlignment="1" applyProtection="1">
      <alignment horizontal="center" vertical="center"/>
      <protection hidden="1"/>
    </xf>
    <xf numFmtId="180" fontId="0" fillId="0" borderId="2" xfId="0" applyNumberFormat="1" applyBorder="1" applyAlignment="1" applyProtection="1">
      <alignment horizontal="center"/>
      <protection hidden="1"/>
    </xf>
    <xf numFmtId="0" fontId="0" fillId="0" borderId="2" xfId="0" applyBorder="1" applyAlignment="1" applyProtection="1">
      <alignment horizontal="center"/>
      <protection hidden="1"/>
    </xf>
    <xf numFmtId="0" fontId="0" fillId="0" borderId="44" xfId="0" applyBorder="1" applyAlignment="1" applyProtection="1">
      <alignment horizontal="center"/>
      <protection hidden="1"/>
    </xf>
    <xf numFmtId="0" fontId="0" fillId="0" borderId="3" xfId="0" applyBorder="1" applyAlignment="1" applyProtection="1">
      <alignment horizontal="center"/>
      <protection hidden="1"/>
    </xf>
    <xf numFmtId="2" fontId="0" fillId="0" borderId="12" xfId="0" applyNumberFormat="1" applyBorder="1" applyAlignment="1" applyProtection="1">
      <alignment horizontal="center"/>
      <protection hidden="1"/>
    </xf>
    <xf numFmtId="180" fontId="0" fillId="0" borderId="25" xfId="0" applyNumberFormat="1" applyBorder="1" applyAlignment="1" applyProtection="1">
      <alignment horizontal="center"/>
      <protection hidden="1"/>
    </xf>
    <xf numFmtId="0" fontId="0" fillId="0" borderId="25" xfId="0" applyBorder="1" applyAlignment="1" applyProtection="1">
      <alignment horizontal="center"/>
      <protection hidden="1"/>
    </xf>
    <xf numFmtId="0" fontId="0" fillId="0" borderId="45" xfId="0" applyBorder="1" applyAlignment="1" applyProtection="1">
      <alignment horizontal="center"/>
      <protection hidden="1"/>
    </xf>
    <xf numFmtId="0" fontId="0" fillId="0" borderId="30" xfId="0" applyBorder="1" applyAlignment="1" applyProtection="1">
      <alignment horizontal="center"/>
      <protection hidden="1"/>
    </xf>
    <xf numFmtId="2" fontId="0" fillId="0" borderId="21" xfId="0" applyNumberFormat="1" applyBorder="1" applyAlignment="1" applyProtection="1">
      <alignment horizontal="center"/>
      <protection hidden="1"/>
    </xf>
    <xf numFmtId="0" fontId="24" fillId="0" borderId="0" xfId="0" applyFont="1" applyProtection="1">
      <protection hidden="1"/>
    </xf>
    <xf numFmtId="180" fontId="0" fillId="0" borderId="40" xfId="0" applyNumberFormat="1" applyBorder="1" applyAlignment="1" applyProtection="1">
      <alignment horizontal="center"/>
      <protection hidden="1"/>
    </xf>
    <xf numFmtId="0" fontId="0" fillId="0" borderId="40" xfId="0" applyBorder="1" applyAlignment="1" applyProtection="1">
      <alignment horizontal="center"/>
      <protection hidden="1"/>
    </xf>
    <xf numFmtId="0" fontId="0" fillId="0" borderId="46" xfId="0" applyBorder="1" applyAlignment="1" applyProtection="1">
      <alignment horizontal="center"/>
      <protection hidden="1"/>
    </xf>
    <xf numFmtId="0" fontId="0" fillId="0" borderId="39" xfId="0" applyBorder="1" applyAlignment="1" applyProtection="1">
      <alignment horizontal="center"/>
      <protection hidden="1"/>
    </xf>
    <xf numFmtId="2" fontId="0" fillId="0" borderId="36" xfId="0" applyNumberFormat="1" applyBorder="1" applyAlignment="1" applyProtection="1">
      <alignment horizontal="center"/>
      <protection hidden="1"/>
    </xf>
    <xf numFmtId="0" fontId="2" fillId="0" borderId="0" xfId="0" applyFont="1" applyAlignment="1" applyProtection="1">
      <alignment horizontal="right"/>
      <protection hidden="1"/>
    </xf>
    <xf numFmtId="0" fontId="0" fillId="0" borderId="0" xfId="0" applyFill="1" applyBorder="1" applyAlignment="1" applyProtection="1">
      <alignment horizontal="center"/>
      <protection hidden="1"/>
    </xf>
    <xf numFmtId="0" fontId="0" fillId="0" borderId="0" xfId="0" applyFill="1" applyBorder="1" applyProtection="1">
      <protection hidden="1"/>
    </xf>
    <xf numFmtId="165" fontId="31" fillId="4" borderId="1" xfId="0" applyNumberFormat="1" applyFont="1" applyFill="1" applyBorder="1" applyAlignment="1">
      <alignment horizontal="center" vertical="center"/>
    </xf>
    <xf numFmtId="0" fontId="10" fillId="0" borderId="1" xfId="0" applyNumberFormat="1" applyFont="1" applyBorder="1" applyAlignment="1">
      <alignment horizontal="center" vertical="center"/>
    </xf>
    <xf numFmtId="0" fontId="31" fillId="4" borderId="1" xfId="0" applyNumberFormat="1" applyFont="1" applyFill="1" applyBorder="1" applyAlignment="1">
      <alignment horizontal="center" vertical="center"/>
    </xf>
    <xf numFmtId="14" fontId="2" fillId="0" borderId="0" xfId="0" applyNumberFormat="1" applyFont="1" applyAlignment="1">
      <alignment horizontal="center" vertical="center"/>
    </xf>
    <xf numFmtId="14" fontId="2" fillId="0" borderId="1" xfId="0" applyNumberFormat="1" applyFont="1" applyBorder="1" applyAlignment="1">
      <alignment horizontal="center" vertical="top"/>
    </xf>
    <xf numFmtId="0" fontId="2" fillId="0" borderId="1" xfId="0" applyNumberFormat="1" applyFont="1" applyBorder="1" applyAlignment="1">
      <alignment horizontal="center" vertical="center"/>
    </xf>
    <xf numFmtId="0" fontId="10" fillId="3" borderId="1" xfId="0" applyFont="1" applyFill="1" applyBorder="1" applyAlignment="1">
      <alignment horizontal="center" vertical="center" wrapText="1"/>
    </xf>
    <xf numFmtId="164" fontId="0" fillId="0" borderId="0" xfId="97" applyFont="1" applyProtection="1">
      <protection hidden="1"/>
    </xf>
    <xf numFmtId="0" fontId="13" fillId="0" borderId="0" xfId="0" applyFont="1" applyAlignment="1" applyProtection="1">
      <alignment vertical="center"/>
      <protection hidden="1"/>
    </xf>
    <xf numFmtId="182" fontId="0" fillId="0" borderId="0" xfId="0" applyNumberFormat="1" applyBorder="1" applyAlignment="1" applyProtection="1">
      <alignment horizontal="center"/>
      <protection hidden="1"/>
    </xf>
    <xf numFmtId="0" fontId="28" fillId="0" borderId="0" xfId="0" applyFont="1" applyAlignment="1" applyProtection="1">
      <alignment vertical="center"/>
      <protection hidden="1"/>
    </xf>
    <xf numFmtId="0" fontId="0" fillId="0" borderId="0" xfId="0" applyAlignment="1" applyProtection="1">
      <alignment vertical="top"/>
      <protection hidden="1"/>
    </xf>
    <xf numFmtId="178" fontId="0" fillId="5" borderId="1" xfId="0" applyNumberFormat="1" applyFill="1" applyBorder="1" applyAlignment="1" applyProtection="1">
      <alignment horizontal="center"/>
      <protection locked="0"/>
    </xf>
    <xf numFmtId="0" fontId="0" fillId="5" borderId="1" xfId="0" applyFill="1" applyBorder="1" applyAlignment="1" applyProtection="1">
      <alignment horizontal="center"/>
      <protection locked="0"/>
    </xf>
    <xf numFmtId="168" fontId="0" fillId="5" borderId="1" xfId="0" applyNumberFormat="1" applyFill="1" applyBorder="1" applyAlignment="1" applyProtection="1">
      <alignment horizontal="center"/>
      <protection locked="0"/>
    </xf>
    <xf numFmtId="183" fontId="10" fillId="17" borderId="1" xfId="0" applyNumberFormat="1" applyFont="1" applyFill="1" applyBorder="1" applyProtection="1">
      <protection hidden="1"/>
    </xf>
    <xf numFmtId="184" fontId="0" fillId="5" borderId="1" xfId="0" applyNumberFormat="1" applyFill="1" applyBorder="1" applyAlignment="1" applyProtection="1">
      <alignment horizontal="center"/>
      <protection locked="0"/>
    </xf>
    <xf numFmtId="0" fontId="0" fillId="0" borderId="0" xfId="0"/>
    <xf numFmtId="184" fontId="0" fillId="0" borderId="45" xfId="0" applyNumberFormat="1" applyBorder="1" applyAlignment="1" applyProtection="1">
      <alignment horizontal="center"/>
      <protection hidden="1"/>
    </xf>
    <xf numFmtId="174" fontId="2" fillId="18" borderId="8" xfId="0" applyNumberFormat="1" applyFont="1" applyFill="1" applyBorder="1" applyAlignment="1" applyProtection="1">
      <alignment shrinkToFit="1"/>
      <protection hidden="1"/>
    </xf>
    <xf numFmtId="185" fontId="2" fillId="18" borderId="10" xfId="0" applyNumberFormat="1" applyFont="1" applyFill="1" applyBorder="1" applyAlignment="1" applyProtection="1">
      <alignment horizontal="center" shrinkToFit="1"/>
      <protection hidden="1"/>
    </xf>
    <xf numFmtId="174" fontId="10" fillId="18" borderId="8" xfId="0" applyNumberFormat="1" applyFont="1" applyFill="1" applyBorder="1" applyAlignment="1" applyProtection="1">
      <alignment shrinkToFit="1"/>
      <protection hidden="1"/>
    </xf>
    <xf numFmtId="185" fontId="10" fillId="18" borderId="10" xfId="0" applyNumberFormat="1" applyFont="1" applyFill="1" applyBorder="1" applyAlignment="1" applyProtection="1">
      <alignment horizontal="center" shrinkToFit="1"/>
      <protection hidden="1"/>
    </xf>
    <xf numFmtId="184" fontId="0" fillId="13" borderId="1" xfId="0" applyNumberFormat="1" applyFill="1" applyBorder="1" applyAlignment="1" applyProtection="1">
      <alignment horizontal="center"/>
      <protection hidden="1"/>
    </xf>
    <xf numFmtId="0" fontId="0" fillId="0" borderId="0" xfId="0" applyNumberFormat="1" applyAlignment="1" applyProtection="1">
      <alignment horizontal="right"/>
      <protection hidden="1"/>
    </xf>
    <xf numFmtId="174" fontId="0" fillId="18" borderId="8" xfId="0" applyNumberFormat="1" applyFill="1" applyBorder="1" applyAlignment="1" applyProtection="1">
      <alignment horizontal="center"/>
      <protection hidden="1"/>
    </xf>
    <xf numFmtId="1" fontId="10" fillId="0" borderId="0" xfId="95" applyNumberFormat="1" applyFont="1" applyFill="1" applyBorder="1" applyAlignment="1" applyProtection="1">
      <alignment horizontal="center" vertical="center"/>
      <protection hidden="1"/>
    </xf>
    <xf numFmtId="1" fontId="10" fillId="0" borderId="0" xfId="0" applyNumberFormat="1" applyFont="1" applyBorder="1" applyAlignment="1" applyProtection="1">
      <alignment horizontal="center" vertical="center"/>
      <protection hidden="1"/>
    </xf>
    <xf numFmtId="1" fontId="10" fillId="0" borderId="0" xfId="0" applyNumberFormat="1" applyFont="1" applyBorder="1" applyAlignment="1" applyProtection="1">
      <alignment horizontal="left" vertical="center"/>
      <protection hidden="1"/>
    </xf>
    <xf numFmtId="0" fontId="13" fillId="0" borderId="0" xfId="0" applyFont="1" applyAlignment="1" applyProtection="1">
      <alignment horizontal="left"/>
      <protection hidden="1"/>
    </xf>
    <xf numFmtId="0" fontId="29" fillId="0" borderId="0" xfId="0" applyFont="1" applyAlignment="1" applyProtection="1">
      <alignment horizontal="left" indent="5"/>
      <protection hidden="1"/>
    </xf>
    <xf numFmtId="0" fontId="29" fillId="0" borderId="0" xfId="0" applyFont="1" applyBorder="1" applyAlignment="1" applyProtection="1">
      <alignment horizontal="left" indent="5"/>
      <protection hidden="1"/>
    </xf>
    <xf numFmtId="0" fontId="0" fillId="0" borderId="0" xfId="0" applyAlignment="1" applyProtection="1">
      <alignment horizontal="left" vertical="justify"/>
      <protection hidden="1"/>
    </xf>
    <xf numFmtId="0" fontId="0" fillId="0" borderId="0" xfId="0" applyBorder="1" applyAlignment="1" applyProtection="1">
      <alignment horizontal="left" vertical="justify"/>
      <protection hidden="1"/>
    </xf>
    <xf numFmtId="0" fontId="2" fillId="0" borderId="0" xfId="0" applyFont="1" applyFill="1" applyBorder="1" applyProtection="1">
      <protection hidden="1"/>
    </xf>
    <xf numFmtId="187" fontId="0" fillId="0" borderId="0" xfId="0" applyNumberFormat="1" applyFill="1" applyBorder="1" applyAlignment="1" applyProtection="1">
      <alignment horizontal="center"/>
      <protection hidden="1"/>
    </xf>
    <xf numFmtId="187" fontId="0" fillId="15" borderId="12" xfId="0" applyNumberFormat="1" applyFill="1" applyBorder="1" applyAlignment="1" applyProtection="1">
      <alignment horizontal="center"/>
      <protection hidden="1"/>
    </xf>
    <xf numFmtId="174" fontId="0" fillId="15" borderId="12" xfId="0" applyNumberFormat="1" applyFill="1" applyBorder="1" applyAlignment="1" applyProtection="1">
      <alignment horizontal="center"/>
      <protection hidden="1"/>
    </xf>
    <xf numFmtId="185" fontId="0" fillId="15" borderId="12" xfId="0" applyNumberFormat="1" applyFill="1" applyBorder="1" applyAlignment="1" applyProtection="1">
      <alignment horizontal="left"/>
      <protection hidden="1"/>
    </xf>
    <xf numFmtId="0" fontId="14" fillId="0" borderId="0" xfId="0" quotePrefix="1" applyFont="1" applyAlignment="1" applyProtection="1">
      <alignment horizontal="left"/>
      <protection hidden="1"/>
    </xf>
    <xf numFmtId="187" fontId="0" fillId="0" borderId="11" xfId="0" applyNumberFormat="1" applyFill="1" applyBorder="1" applyAlignment="1" applyProtection="1">
      <alignment horizontal="center"/>
      <protection hidden="1"/>
    </xf>
    <xf numFmtId="174" fontId="0" fillId="15" borderId="11" xfId="0" applyNumberFormat="1" applyFill="1" applyBorder="1" applyAlignment="1" applyProtection="1">
      <alignment horizontal="center"/>
      <protection hidden="1"/>
    </xf>
    <xf numFmtId="185" fontId="0" fillId="15" borderId="11" xfId="0" applyNumberFormat="1" applyFill="1" applyBorder="1" applyAlignment="1" applyProtection="1">
      <alignment horizontal="left"/>
      <protection hidden="1"/>
    </xf>
    <xf numFmtId="184" fontId="14" fillId="13" borderId="1" xfId="0" applyNumberFormat="1" applyFont="1" applyFill="1" applyBorder="1" applyAlignment="1" applyProtection="1">
      <alignment horizontal="center"/>
      <protection hidden="1"/>
    </xf>
    <xf numFmtId="0" fontId="14" fillId="0" borderId="0" xfId="0" applyFont="1" applyAlignment="1" applyProtection="1">
      <alignment horizontal="right"/>
      <protection hidden="1"/>
    </xf>
    <xf numFmtId="0" fontId="14" fillId="0" borderId="0" xfId="0" applyFont="1" applyAlignment="1" applyProtection="1">
      <alignment horizontal="center"/>
      <protection hidden="1"/>
    </xf>
    <xf numFmtId="0" fontId="14" fillId="0" borderId="0" xfId="0" applyFont="1" applyProtection="1">
      <protection hidden="1"/>
    </xf>
    <xf numFmtId="174" fontId="14" fillId="18" borderId="8" xfId="0" applyNumberFormat="1" applyFont="1" applyFill="1" applyBorder="1" applyAlignment="1" applyProtection="1">
      <alignment horizontal="center"/>
      <protection hidden="1"/>
    </xf>
    <xf numFmtId="174" fontId="0" fillId="0" borderId="0" xfId="0" applyNumberFormat="1" applyFill="1" applyBorder="1" applyAlignment="1" applyProtection="1">
      <alignment horizontal="center"/>
      <protection hidden="1"/>
    </xf>
    <xf numFmtId="185" fontId="0" fillId="0" borderId="0" xfId="0" applyNumberFormat="1" applyFill="1" applyBorder="1" applyAlignment="1" applyProtection="1">
      <alignment horizontal="left"/>
      <protection hidden="1"/>
    </xf>
    <xf numFmtId="0" fontId="0" fillId="0" borderId="0" xfId="0" applyAlignment="1" applyProtection="1">
      <alignment shrinkToFit="1"/>
      <protection hidden="1"/>
    </xf>
    <xf numFmtId="0" fontId="0" fillId="0" borderId="0" xfId="0" applyAlignment="1" applyProtection="1">
      <alignment horizontal="left" shrinkToFit="1"/>
      <protection hidden="1"/>
    </xf>
    <xf numFmtId="0" fontId="10" fillId="0" borderId="0" xfId="0" applyFont="1" applyAlignment="1" applyProtection="1">
      <alignment horizontal="right"/>
      <protection hidden="1"/>
    </xf>
    <xf numFmtId="188" fontId="0" fillId="5" borderId="1" xfId="0" applyNumberFormat="1" applyFill="1" applyBorder="1" applyAlignment="1" applyProtection="1">
      <alignment horizontal="center" shrinkToFit="1"/>
      <protection locked="0"/>
    </xf>
    <xf numFmtId="184" fontId="0" fillId="5" borderId="1" xfId="0" applyNumberFormat="1" applyFill="1" applyBorder="1" applyAlignment="1" applyProtection="1">
      <alignment horizontal="center" shrinkToFit="1"/>
      <protection locked="0"/>
    </xf>
    <xf numFmtId="0" fontId="29" fillId="0" borderId="0" xfId="0" applyFont="1" applyProtection="1">
      <protection hidden="1"/>
    </xf>
    <xf numFmtId="178" fontId="19" fillId="0" borderId="0" xfId="0" applyNumberFormat="1" applyFont="1" applyFill="1" applyBorder="1" applyAlignment="1" applyProtection="1">
      <alignment horizontal="center" vertical="center"/>
      <protection hidden="1"/>
    </xf>
    <xf numFmtId="9" fontId="0" fillId="0" borderId="0" xfId="0" applyNumberFormat="1" applyAlignment="1" applyProtection="1">
      <alignment horizontal="left"/>
      <protection hidden="1"/>
    </xf>
    <xf numFmtId="0" fontId="30" fillId="0" borderId="0" xfId="0" applyFont="1" applyProtection="1">
      <protection hidden="1"/>
    </xf>
    <xf numFmtId="1" fontId="0" fillId="5" borderId="51" xfId="0" applyNumberFormat="1" applyFill="1" applyBorder="1" applyProtection="1">
      <protection locked="0"/>
    </xf>
    <xf numFmtId="1" fontId="0" fillId="5" borderId="52" xfId="0" applyNumberFormat="1" applyFill="1" applyBorder="1" applyProtection="1">
      <protection locked="0"/>
    </xf>
    <xf numFmtId="1" fontId="0" fillId="5" borderId="53" xfId="0" applyNumberFormat="1" applyFill="1" applyBorder="1" applyProtection="1">
      <protection locked="0"/>
    </xf>
    <xf numFmtId="1" fontId="0" fillId="0" borderId="0" xfId="0" applyNumberFormat="1" applyBorder="1" applyProtection="1">
      <protection hidden="1"/>
    </xf>
    <xf numFmtId="183" fontId="0" fillId="8" borderId="1" xfId="0" applyNumberFormat="1" applyFill="1" applyBorder="1" applyAlignment="1" applyProtection="1">
      <alignment horizontal="center"/>
      <protection hidden="1"/>
    </xf>
    <xf numFmtId="183" fontId="0" fillId="16" borderId="1" xfId="0" applyNumberFormat="1" applyFill="1" applyBorder="1" applyAlignment="1" applyProtection="1">
      <alignment horizontal="center"/>
      <protection hidden="1"/>
    </xf>
    <xf numFmtId="173" fontId="0" fillId="0" borderId="0" xfId="0" applyNumberFormat="1" applyFill="1" applyBorder="1" applyAlignment="1" applyProtection="1">
      <alignment horizontal="center"/>
      <protection hidden="1"/>
    </xf>
    <xf numFmtId="190" fontId="19" fillId="7" borderId="1" xfId="0" applyNumberFormat="1" applyFont="1" applyFill="1" applyBorder="1" applyAlignment="1" applyProtection="1">
      <alignment horizontal="center" vertical="center" shrinkToFit="1"/>
      <protection hidden="1"/>
    </xf>
    <xf numFmtId="0" fontId="17" fillId="0" borderId="0" xfId="0" applyFont="1" applyAlignment="1" applyProtection="1">
      <alignment horizontal="left" indent="1"/>
      <protection hidden="1"/>
    </xf>
    <xf numFmtId="0" fontId="0" fillId="0" borderId="1" xfId="0" applyNumberFormat="1" applyFont="1" applyBorder="1" applyAlignment="1">
      <alignment horizontal="left" vertical="center"/>
    </xf>
    <xf numFmtId="0" fontId="0" fillId="0" borderId="1" xfId="0" applyFont="1" applyBorder="1" applyAlignment="1">
      <alignment horizontal="left" vertical="top"/>
    </xf>
    <xf numFmtId="0" fontId="4" fillId="0" borderId="1" xfId="0" applyFont="1" applyBorder="1" applyAlignment="1">
      <alignment horizontal="left" vertical="center"/>
    </xf>
    <xf numFmtId="0" fontId="2" fillId="0" borderId="1" xfId="0" applyFont="1" applyBorder="1" applyAlignment="1">
      <alignment horizontal="center" vertical="top"/>
    </xf>
    <xf numFmtId="0" fontId="10" fillId="3" borderId="8" xfId="0" applyFont="1" applyFill="1" applyBorder="1" applyAlignment="1">
      <alignment horizontal="center" vertical="center"/>
    </xf>
    <xf numFmtId="0" fontId="2" fillId="0" borderId="1" xfId="0" applyFont="1" applyBorder="1" applyAlignment="1">
      <alignment horizontal="left" vertical="center"/>
    </xf>
    <xf numFmtId="0" fontId="36" fillId="19" borderId="1" xfId="0" applyNumberFormat="1" applyFont="1" applyFill="1" applyBorder="1" applyAlignment="1">
      <alignment horizontal="center" vertical="center"/>
    </xf>
    <xf numFmtId="0" fontId="36" fillId="19" borderId="1" xfId="0" applyFont="1" applyFill="1" applyBorder="1" applyAlignment="1">
      <alignment horizontal="center" vertical="center"/>
    </xf>
    <xf numFmtId="0" fontId="36" fillId="19" borderId="1" xfId="0" applyFont="1" applyFill="1" applyBorder="1" applyAlignment="1">
      <alignment horizontal="left" vertical="center"/>
    </xf>
    <xf numFmtId="0" fontId="36" fillId="19" borderId="1" xfId="0" applyFont="1" applyFill="1" applyBorder="1" applyAlignment="1">
      <alignment vertical="top"/>
    </xf>
    <xf numFmtId="191" fontId="2" fillId="0" borderId="1" xfId="0" applyNumberFormat="1" applyFont="1" applyBorder="1" applyAlignment="1">
      <alignment vertical="top"/>
    </xf>
    <xf numFmtId="0" fontId="37" fillId="0" borderId="1" xfId="0" applyFont="1" applyBorder="1" applyAlignment="1">
      <alignment horizontal="center" vertical="center"/>
    </xf>
    <xf numFmtId="0" fontId="3" fillId="3" borderId="1" xfId="0" applyFont="1" applyFill="1" applyBorder="1" applyAlignment="1">
      <alignment horizontal="center" vertical="center"/>
    </xf>
    <xf numFmtId="14" fontId="4" fillId="0" borderId="1" xfId="0" applyNumberFormat="1" applyFont="1" applyBorder="1" applyAlignment="1">
      <alignment horizontal="center" vertical="center"/>
    </xf>
    <xf numFmtId="0" fontId="38" fillId="0" borderId="1" xfId="0" applyFont="1" applyBorder="1" applyAlignment="1">
      <alignment horizontal="center" vertical="center"/>
    </xf>
    <xf numFmtId="0" fontId="19" fillId="3" borderId="1" xfId="0" applyFont="1" applyFill="1" applyBorder="1" applyAlignment="1">
      <alignment horizontal="center" vertical="top"/>
    </xf>
    <xf numFmtId="0" fontId="19" fillId="3" borderId="1" xfId="0" applyFont="1" applyFill="1" applyBorder="1" applyAlignment="1">
      <alignment horizontal="left" textRotation="90"/>
    </xf>
    <xf numFmtId="0" fontId="19" fillId="3" borderId="1" xfId="0" applyFont="1" applyFill="1" applyBorder="1" applyAlignment="1">
      <alignment horizontal="center" vertical="center"/>
    </xf>
    <xf numFmtId="0" fontId="39" fillId="0" borderId="1" xfId="0" applyNumberFormat="1" applyFont="1" applyFill="1" applyBorder="1" applyAlignment="1">
      <alignment horizontal="center" vertical="center"/>
    </xf>
    <xf numFmtId="0" fontId="39" fillId="0" borderId="1" xfId="0" applyFont="1" applyFill="1" applyBorder="1" applyAlignment="1">
      <alignment horizontal="center" vertical="center"/>
    </xf>
    <xf numFmtId="0" fontId="39" fillId="0" borderId="1" xfId="0" applyFont="1" applyFill="1" applyBorder="1" applyAlignment="1">
      <alignment horizontal="left" vertical="center"/>
    </xf>
    <xf numFmtId="0" fontId="39" fillId="0" borderId="1" xfId="0" applyFont="1" applyFill="1" applyBorder="1" applyAlignment="1">
      <alignment vertical="top"/>
    </xf>
    <xf numFmtId="2" fontId="2" fillId="0" borderId="1" xfId="0" applyNumberFormat="1" applyFont="1" applyBorder="1" applyAlignment="1">
      <alignment horizontal="center" vertical="center"/>
    </xf>
    <xf numFmtId="0" fontId="3" fillId="3" borderId="1" xfId="0" applyFont="1" applyFill="1" applyBorder="1" applyAlignment="1">
      <alignment horizontal="center" vertical="center" wrapText="1"/>
    </xf>
    <xf numFmtId="0" fontId="4" fillId="0" borderId="1" xfId="0" applyNumberFormat="1" applyFont="1" applyBorder="1" applyAlignment="1">
      <alignment horizontal="center" vertical="center"/>
    </xf>
    <xf numFmtId="0" fontId="0" fillId="0" borderId="10" xfId="0" applyFont="1" applyBorder="1" applyAlignment="1">
      <alignment horizontal="center" vertical="center"/>
    </xf>
    <xf numFmtId="0" fontId="0" fillId="0" borderId="10" xfId="0" applyFont="1" applyBorder="1" applyAlignment="1">
      <alignment horizontal="left" vertical="center"/>
    </xf>
    <xf numFmtId="0" fontId="0" fillId="0" borderId="10" xfId="0" applyFont="1" applyBorder="1" applyAlignment="1">
      <alignment vertical="top"/>
    </xf>
    <xf numFmtId="0" fontId="19" fillId="21" borderId="1" xfId="0" applyNumberFormat="1" applyFont="1" applyFill="1" applyBorder="1" applyAlignment="1">
      <alignment horizontal="center" vertical="center"/>
    </xf>
    <xf numFmtId="0" fontId="19" fillId="21" borderId="1" xfId="0" applyFont="1" applyFill="1" applyBorder="1" applyAlignment="1">
      <alignment horizontal="center" vertical="center"/>
    </xf>
    <xf numFmtId="0" fontId="19" fillId="21" borderId="1" xfId="0" applyFont="1" applyFill="1" applyBorder="1" applyAlignment="1">
      <alignment horizontal="left" vertical="center"/>
    </xf>
    <xf numFmtId="0" fontId="19" fillId="21" borderId="1" xfId="0" applyFont="1" applyFill="1" applyBorder="1" applyAlignment="1">
      <alignment vertical="top"/>
    </xf>
    <xf numFmtId="0" fontId="10" fillId="3" borderId="9" xfId="0" applyFont="1" applyFill="1" applyBorder="1" applyAlignment="1">
      <alignment horizontal="center" vertical="center"/>
    </xf>
    <xf numFmtId="0" fontId="10" fillId="3" borderId="50" xfId="0" applyFont="1" applyFill="1" applyBorder="1" applyAlignment="1">
      <alignment horizontal="center" vertical="center" wrapText="1"/>
    </xf>
    <xf numFmtId="2" fontId="2" fillId="0" borderId="0" xfId="0" applyNumberFormat="1" applyFont="1" applyAlignment="1">
      <alignment vertical="top"/>
    </xf>
    <xf numFmtId="2" fontId="10" fillId="3" borderId="9" xfId="0" applyNumberFormat="1" applyFont="1" applyFill="1" applyBorder="1" applyAlignment="1">
      <alignment horizontal="center" vertical="center"/>
    </xf>
    <xf numFmtId="2" fontId="10" fillId="3" borderId="1" xfId="0" applyNumberFormat="1" applyFont="1" applyFill="1" applyBorder="1" applyAlignment="1">
      <alignment horizontal="center" vertical="center"/>
    </xf>
    <xf numFmtId="1" fontId="2" fillId="0" borderId="1" xfId="0" applyNumberFormat="1" applyFont="1" applyBorder="1" applyAlignment="1">
      <alignment horizontal="center" vertical="center"/>
    </xf>
    <xf numFmtId="0" fontId="0" fillId="0" borderId="10" xfId="0" applyNumberFormat="1" applyFont="1" applyBorder="1" applyAlignment="1">
      <alignment horizontal="center" vertical="center"/>
    </xf>
    <xf numFmtId="0" fontId="10" fillId="3" borderId="8" xfId="0" applyFont="1" applyFill="1" applyBorder="1" applyAlignment="1">
      <alignment horizontal="center" vertical="center"/>
    </xf>
    <xf numFmtId="0" fontId="2" fillId="22" borderId="1" xfId="0" applyNumberFormat="1" applyFont="1" applyFill="1" applyBorder="1" applyAlignment="1">
      <alignment horizontal="center" vertical="center"/>
    </xf>
    <xf numFmtId="0" fontId="2" fillId="22" borderId="1" xfId="0" applyFont="1" applyFill="1" applyBorder="1" applyAlignment="1">
      <alignment horizontal="center" vertical="center"/>
    </xf>
    <xf numFmtId="0" fontId="2" fillId="22" borderId="1" xfId="0" applyFont="1" applyFill="1" applyBorder="1" applyAlignment="1">
      <alignment vertical="top"/>
    </xf>
    <xf numFmtId="0" fontId="10" fillId="22" borderId="1" xfId="0" applyFont="1" applyFill="1" applyBorder="1" applyAlignment="1">
      <alignment horizontal="left" vertical="center"/>
    </xf>
    <xf numFmtId="16" fontId="2" fillId="0" borderId="0" xfId="0" applyNumberFormat="1" applyFont="1" applyAlignment="1">
      <alignment vertical="top"/>
    </xf>
    <xf numFmtId="165" fontId="0" fillId="0" borderId="0" xfId="0" applyNumberFormat="1" applyFont="1" applyBorder="1" applyAlignment="1">
      <alignment horizontal="center" vertical="center"/>
    </xf>
    <xf numFmtId="0" fontId="4" fillId="0" borderId="0" xfId="0" applyNumberFormat="1" applyFont="1" applyBorder="1" applyAlignment="1">
      <alignment horizontal="center" vertical="center"/>
    </xf>
    <xf numFmtId="0" fontId="2" fillId="0" borderId="0" xfId="0" applyNumberFormat="1" applyFont="1" applyBorder="1" applyAlignment="1">
      <alignment horizontal="center" vertical="center"/>
    </xf>
    <xf numFmtId="192" fontId="2" fillId="0" borderId="0" xfId="0" applyNumberFormat="1" applyFont="1" applyAlignment="1">
      <alignment horizontal="center" vertical="center"/>
    </xf>
    <xf numFmtId="192" fontId="10" fillId="3" borderId="8" xfId="0" applyNumberFormat="1" applyFont="1" applyFill="1" applyBorder="1" applyAlignment="1">
      <alignment horizontal="center" vertical="center"/>
    </xf>
    <xf numFmtId="192" fontId="2" fillId="0" borderId="1" xfId="0" applyNumberFormat="1" applyFont="1" applyBorder="1" applyAlignment="1">
      <alignment horizontal="center" vertical="center"/>
    </xf>
    <xf numFmtId="192" fontId="2" fillId="0" borderId="1" xfId="0" applyNumberFormat="1" applyFont="1" applyBorder="1" applyAlignment="1">
      <alignment horizontal="center" vertical="top"/>
    </xf>
    <xf numFmtId="192" fontId="36" fillId="19" borderId="1" xfId="0" applyNumberFormat="1" applyFont="1" applyFill="1" applyBorder="1" applyAlignment="1">
      <alignment horizontal="center" vertical="top"/>
    </xf>
    <xf numFmtId="192" fontId="39" fillId="0" borderId="1" xfId="0" applyNumberFormat="1" applyFont="1" applyFill="1" applyBorder="1" applyAlignment="1">
      <alignment horizontal="center" vertical="top"/>
    </xf>
    <xf numFmtId="192" fontId="2" fillId="22" borderId="1" xfId="0" applyNumberFormat="1" applyFont="1" applyFill="1" applyBorder="1" applyAlignment="1">
      <alignment horizontal="center" vertical="top"/>
    </xf>
    <xf numFmtId="192" fontId="19" fillId="21" borderId="1" xfId="0" applyNumberFormat="1" applyFont="1" applyFill="1" applyBorder="1" applyAlignment="1">
      <alignment horizontal="center" vertical="top"/>
    </xf>
    <xf numFmtId="192" fontId="2" fillId="0" borderId="0" xfId="0" applyNumberFormat="1" applyFont="1" applyAlignment="1">
      <alignment vertical="top"/>
    </xf>
    <xf numFmtId="192" fontId="0" fillId="0" borderId="1" xfId="0" applyNumberFormat="1" applyFont="1" applyBorder="1" applyAlignment="1">
      <alignment horizontal="center" vertical="center"/>
    </xf>
    <xf numFmtId="0" fontId="31" fillId="4" borderId="1" xfId="0" applyFont="1" applyFill="1" applyBorder="1" applyAlignment="1">
      <alignment horizontal="center" vertical="center"/>
    </xf>
    <xf numFmtId="193" fontId="31" fillId="4" borderId="1" xfId="0" applyNumberFormat="1" applyFont="1" applyFill="1" applyBorder="1" applyAlignment="1">
      <alignment horizontal="center" vertical="center"/>
    </xf>
    <xf numFmtId="0" fontId="10" fillId="0" borderId="1" xfId="0" applyFont="1" applyBorder="1" applyAlignment="1">
      <alignment horizontal="center" vertical="center"/>
    </xf>
    <xf numFmtId="14" fontId="4" fillId="0" borderId="0" xfId="0" applyNumberFormat="1" applyFont="1" applyBorder="1" applyAlignment="1">
      <alignment horizontal="center" vertical="center"/>
    </xf>
    <xf numFmtId="14" fontId="2" fillId="0" borderId="0" xfId="0" applyNumberFormat="1" applyFont="1" applyBorder="1" applyAlignment="1">
      <alignment horizontal="center" vertical="center"/>
    </xf>
    <xf numFmtId="0" fontId="2" fillId="0" borderId="0" xfId="0" applyFont="1" applyBorder="1" applyAlignment="1">
      <alignment horizontal="center" vertical="center"/>
    </xf>
    <xf numFmtId="14" fontId="0" fillId="0" borderId="1" xfId="0" applyNumberFormat="1" applyFont="1" applyBorder="1" applyAlignment="1">
      <alignment horizontal="center" vertical="center"/>
    </xf>
    <xf numFmtId="0" fontId="0" fillId="0" borderId="0" xfId="0" applyFont="1" applyBorder="1" applyAlignment="1">
      <alignment horizontal="center" vertical="center"/>
    </xf>
    <xf numFmtId="194" fontId="4" fillId="0" borderId="1" xfId="0" applyNumberFormat="1" applyFont="1" applyBorder="1" applyAlignment="1">
      <alignment horizontal="center" vertical="center"/>
    </xf>
    <xf numFmtId="14" fontId="2" fillId="0" borderId="1" xfId="0" applyNumberFormat="1" applyFont="1" applyBorder="1" applyAlignment="1">
      <alignment horizontal="left" vertical="center"/>
    </xf>
    <xf numFmtId="14" fontId="0" fillId="0" borderId="1" xfId="0" applyNumberFormat="1" applyFont="1" applyBorder="1" applyAlignment="1">
      <alignment horizontal="left" vertical="center"/>
    </xf>
    <xf numFmtId="0" fontId="4" fillId="0" borderId="1" xfId="0" applyFont="1" applyBorder="1" applyAlignment="1">
      <alignment horizontal="center" vertical="center"/>
    </xf>
    <xf numFmtId="21" fontId="2" fillId="0" borderId="0" xfId="0" applyNumberFormat="1" applyFont="1" applyAlignment="1">
      <alignment vertical="top"/>
    </xf>
    <xf numFmtId="0" fontId="3" fillId="3" borderId="49" xfId="0" applyFont="1" applyFill="1" applyBorder="1" applyAlignment="1">
      <alignment horizontal="center" vertical="center"/>
    </xf>
    <xf numFmtId="0" fontId="3" fillId="3" borderId="49" xfId="0" applyFont="1" applyFill="1" applyBorder="1" applyAlignment="1">
      <alignment horizontal="center" vertical="center" wrapText="1"/>
    </xf>
    <xf numFmtId="0" fontId="40" fillId="23" borderId="1" xfId="0" applyNumberFormat="1" applyFont="1" applyFill="1" applyBorder="1" applyAlignment="1">
      <alignment horizontal="center" vertical="center" wrapText="1"/>
    </xf>
    <xf numFmtId="21" fontId="0" fillId="0" borderId="1" xfId="0" applyNumberFormat="1" applyFont="1" applyBorder="1" applyAlignment="1">
      <alignment horizontal="center" vertical="center"/>
    </xf>
    <xf numFmtId="21" fontId="2" fillId="0" borderId="1" xfId="0" applyNumberFormat="1"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192" fontId="10" fillId="3" borderId="8" xfId="0" applyNumberFormat="1" applyFont="1" applyFill="1" applyBorder="1" applyAlignment="1">
      <alignment horizontal="center" vertical="center"/>
    </xf>
    <xf numFmtId="0" fontId="10" fillId="3" borderId="8" xfId="0" applyFont="1" applyFill="1" applyBorder="1" applyAlignment="1">
      <alignment horizontal="center" vertical="center"/>
    </xf>
    <xf numFmtId="0" fontId="10" fillId="3" borderId="1" xfId="0" applyFont="1" applyFill="1" applyBorder="1" applyAlignment="1">
      <alignment horizontal="left" vertical="center"/>
    </xf>
    <xf numFmtId="192" fontId="36" fillId="19" borderId="1" xfId="0" applyNumberFormat="1" applyFont="1" applyFill="1" applyBorder="1" applyAlignment="1">
      <alignment horizontal="center" vertical="center"/>
    </xf>
    <xf numFmtId="0" fontId="2" fillId="0" borderId="0" xfId="0" applyFont="1" applyAlignment="1">
      <alignment horizontal="left" vertical="top"/>
    </xf>
    <xf numFmtId="195" fontId="2" fillId="0" borderId="1" xfId="0" applyNumberFormat="1" applyFont="1" applyBorder="1" applyAlignment="1">
      <alignment horizontal="center" vertical="top"/>
    </xf>
    <xf numFmtId="195" fontId="2" fillId="0" borderId="1" xfId="0" applyNumberFormat="1" applyFont="1" applyBorder="1" applyAlignment="1">
      <alignment vertical="top"/>
    </xf>
    <xf numFmtId="195" fontId="0" fillId="0" borderId="1" xfId="0" applyNumberFormat="1" applyFont="1" applyBorder="1" applyAlignment="1">
      <alignment horizontal="center" vertical="top"/>
    </xf>
    <xf numFmtId="0" fontId="4" fillId="0" borderId="1" xfId="0" applyFont="1" applyBorder="1" applyAlignment="1">
      <alignment horizontal="center" vertical="center"/>
    </xf>
    <xf numFmtId="0" fontId="3" fillId="3" borderId="1" xfId="0" applyFont="1" applyFill="1" applyBorder="1" applyAlignment="1">
      <alignment horizontal="center" vertical="center"/>
    </xf>
    <xf numFmtId="0" fontId="0" fillId="0" borderId="0" xfId="0" applyFont="1" applyAlignment="1">
      <alignment horizontal="left" vertical="top"/>
    </xf>
    <xf numFmtId="196" fontId="0" fillId="0" borderId="1" xfId="0" applyNumberFormat="1" applyFont="1" applyBorder="1" applyAlignment="1">
      <alignment horizontal="center" vertical="center"/>
    </xf>
    <xf numFmtId="175" fontId="0" fillId="0" borderId="1" xfId="0" applyNumberFormat="1" applyFont="1" applyBorder="1" applyAlignment="1">
      <alignment horizontal="center" vertical="center"/>
    </xf>
    <xf numFmtId="196" fontId="2" fillId="0" borderId="1" xfId="0" applyNumberFormat="1" applyFont="1" applyBorder="1" applyAlignment="1">
      <alignment vertical="top"/>
    </xf>
    <xf numFmtId="0" fontId="2" fillId="0" borderId="0" xfId="0" applyNumberFormat="1" applyFont="1" applyAlignment="1">
      <alignment vertical="top"/>
    </xf>
    <xf numFmtId="197" fontId="41" fillId="23" borderId="56" xfId="0" applyNumberFormat="1" applyFont="1" applyFill="1" applyBorder="1" applyAlignment="1">
      <alignment vertical="center" wrapText="1"/>
    </xf>
    <xf numFmtId="0" fontId="4" fillId="0" borderId="1" xfId="0" applyFont="1" applyBorder="1" applyAlignment="1">
      <alignment horizontal="center" vertical="center"/>
    </xf>
    <xf numFmtId="0" fontId="3" fillId="3" borderId="1" xfId="0" applyFont="1" applyFill="1" applyBorder="1" applyAlignment="1">
      <alignment horizontal="center" vertical="center"/>
    </xf>
    <xf numFmtId="0" fontId="19" fillId="0" borderId="4" xfId="0" applyFont="1" applyFill="1" applyBorder="1" applyAlignment="1" applyProtection="1">
      <alignment horizontal="center" vertical="top"/>
      <protection hidden="1"/>
    </xf>
    <xf numFmtId="0" fontId="19" fillId="0" borderId="0" xfId="0" applyFont="1" applyFill="1" applyBorder="1" applyAlignment="1" applyProtection="1">
      <alignment horizontal="center" vertical="top"/>
      <protection hidden="1"/>
    </xf>
    <xf numFmtId="1" fontId="21" fillId="8" borderId="27" xfId="0" applyNumberFormat="1" applyFont="1" applyFill="1" applyBorder="1" applyAlignment="1" applyProtection="1">
      <alignment horizontal="center" vertical="center"/>
      <protection hidden="1"/>
    </xf>
    <xf numFmtId="1" fontId="21" fillId="8" borderId="33" xfId="0" applyNumberFormat="1" applyFont="1" applyFill="1" applyBorder="1" applyAlignment="1" applyProtection="1">
      <alignment horizontal="center" vertical="center"/>
      <protection hidden="1"/>
    </xf>
    <xf numFmtId="1" fontId="21" fillId="2" borderId="27" xfId="0" applyNumberFormat="1" applyFont="1" applyFill="1" applyBorder="1" applyAlignment="1" applyProtection="1">
      <alignment horizontal="center" vertical="center"/>
      <protection hidden="1"/>
    </xf>
    <xf numFmtId="1" fontId="21" fillId="2" borderId="33" xfId="0" applyNumberFormat="1" applyFont="1" applyFill="1" applyBorder="1" applyAlignment="1" applyProtection="1">
      <alignment horizontal="center" vertical="center"/>
      <protection hidden="1"/>
    </xf>
    <xf numFmtId="1" fontId="21" fillId="9" borderId="33" xfId="0" applyNumberFormat="1" applyFont="1" applyFill="1" applyBorder="1" applyAlignment="1" applyProtection="1">
      <alignment horizontal="center" vertical="center"/>
      <protection hidden="1"/>
    </xf>
    <xf numFmtId="1" fontId="21" fillId="9" borderId="27" xfId="0" applyNumberFormat="1" applyFont="1" applyFill="1" applyBorder="1" applyAlignment="1" applyProtection="1">
      <alignment horizontal="center" vertical="center"/>
      <protection hidden="1"/>
    </xf>
    <xf numFmtId="1" fontId="21" fillId="10" borderId="27" xfId="0" applyNumberFormat="1" applyFont="1" applyFill="1" applyBorder="1" applyAlignment="1" applyProtection="1">
      <alignment horizontal="center" vertical="center"/>
      <protection hidden="1"/>
    </xf>
    <xf numFmtId="0" fontId="1" fillId="0" borderId="0" xfId="374"/>
    <xf numFmtId="0" fontId="1" fillId="0" borderId="0" xfId="374" applyAlignment="1">
      <alignment horizontal="center" vertical="center"/>
    </xf>
    <xf numFmtId="0" fontId="1" fillId="0" borderId="0" xfId="374" applyAlignment="1">
      <alignment vertical="center" wrapText="1"/>
    </xf>
    <xf numFmtId="0" fontId="44" fillId="24" borderId="56" xfId="374" applyFont="1" applyFill="1" applyBorder="1" applyAlignment="1">
      <alignment horizontal="center" vertical="center"/>
    </xf>
    <xf numFmtId="21" fontId="1" fillId="0" borderId="0" xfId="374" applyNumberFormat="1" applyAlignment="1">
      <alignment vertical="center" wrapText="1"/>
    </xf>
    <xf numFmtId="0" fontId="1" fillId="0" borderId="56" xfId="374" applyBorder="1" applyAlignment="1">
      <alignment horizontal="center" vertical="center"/>
    </xf>
    <xf numFmtId="0" fontId="45" fillId="0" borderId="56" xfId="374" applyNumberFormat="1" applyFont="1" applyBorder="1" applyAlignment="1">
      <alignment horizontal="left" vertical="center" wrapText="1"/>
    </xf>
    <xf numFmtId="0" fontId="41" fillId="23" borderId="56" xfId="374" applyNumberFormat="1" applyFont="1" applyFill="1" applyBorder="1" applyAlignment="1">
      <alignment vertical="center" wrapText="1"/>
    </xf>
    <xf numFmtId="0" fontId="45" fillId="0" borderId="56" xfId="374" applyNumberFormat="1" applyFont="1" applyBorder="1" applyAlignment="1">
      <alignment vertical="center" wrapText="1"/>
    </xf>
    <xf numFmtId="197" fontId="41" fillId="23" borderId="56" xfId="374" applyNumberFormat="1" applyFont="1" applyFill="1" applyBorder="1" applyAlignment="1">
      <alignment vertical="center" wrapText="1"/>
    </xf>
    <xf numFmtId="0" fontId="45" fillId="0" borderId="56" xfId="374" applyNumberFormat="1" applyFont="1" applyBorder="1" applyAlignment="1">
      <alignment horizontal="right" vertical="center" wrapText="1"/>
    </xf>
    <xf numFmtId="0" fontId="1" fillId="0" borderId="56" xfId="374" applyBorder="1" applyAlignment="1">
      <alignment horizontal="right" vertical="center"/>
    </xf>
    <xf numFmtId="0" fontId="1" fillId="0" borderId="0" xfId="374" applyAlignment="1">
      <alignment vertical="center"/>
    </xf>
    <xf numFmtId="0" fontId="46" fillId="0" borderId="56" xfId="374" applyNumberFormat="1" applyFont="1" applyBorder="1" applyAlignment="1">
      <alignment vertical="center" wrapText="1"/>
    </xf>
    <xf numFmtId="0" fontId="40" fillId="23" borderId="56" xfId="374" applyNumberFormat="1" applyFont="1" applyFill="1" applyBorder="1" applyAlignment="1">
      <alignment vertical="center" wrapText="1"/>
    </xf>
    <xf numFmtId="197" fontId="45" fillId="0" borderId="56" xfId="374" applyNumberFormat="1" applyFont="1" applyBorder="1" applyAlignment="1">
      <alignment horizontal="right" vertical="center" wrapText="1"/>
    </xf>
    <xf numFmtId="0" fontId="1" fillId="0" borderId="56" xfId="374" applyFill="1" applyBorder="1" applyAlignment="1">
      <alignment horizontal="center" vertical="center"/>
    </xf>
    <xf numFmtId="0" fontId="46" fillId="0" borderId="56" xfId="374" applyNumberFormat="1" applyFont="1" applyFill="1" applyBorder="1" applyAlignment="1">
      <alignment vertical="center" wrapText="1"/>
    </xf>
    <xf numFmtId="0" fontId="45" fillId="0" borderId="56" xfId="374" applyNumberFormat="1" applyFont="1" applyFill="1" applyBorder="1" applyAlignment="1">
      <alignment horizontal="right" vertical="center" wrapText="1"/>
    </xf>
    <xf numFmtId="0" fontId="45" fillId="0" borderId="56" xfId="374" applyNumberFormat="1" applyFont="1" applyFill="1" applyBorder="1" applyAlignment="1">
      <alignment vertical="center" wrapText="1"/>
    </xf>
    <xf numFmtId="0" fontId="1" fillId="0" borderId="56" xfId="374" applyBorder="1" applyAlignment="1">
      <alignment vertical="center"/>
    </xf>
    <xf numFmtId="0" fontId="42" fillId="23" borderId="56" xfId="374" applyFont="1" applyFill="1" applyBorder="1" applyAlignment="1">
      <alignment vertical="center"/>
    </xf>
    <xf numFmtId="0" fontId="1" fillId="25" borderId="56" xfId="374" applyFill="1" applyBorder="1" applyAlignment="1">
      <alignment horizontal="center" vertical="center"/>
    </xf>
    <xf numFmtId="1" fontId="21" fillId="8" borderId="0" xfId="0" applyNumberFormat="1" applyFont="1" applyFill="1" applyBorder="1" applyAlignment="1" applyProtection="1">
      <alignment horizontal="center" vertical="center"/>
      <protection hidden="1"/>
    </xf>
    <xf numFmtId="0" fontId="47" fillId="0" borderId="0" xfId="0" applyFont="1" applyAlignment="1">
      <alignment horizontal="center" vertical="center"/>
    </xf>
    <xf numFmtId="0" fontId="21" fillId="3" borderId="8" xfId="0" applyFont="1" applyFill="1" applyBorder="1" applyAlignment="1">
      <alignment horizontal="center" vertical="center"/>
    </xf>
    <xf numFmtId="165" fontId="48" fillId="4" borderId="1" xfId="0" applyNumberFormat="1" applyFont="1" applyFill="1" applyBorder="1" applyAlignment="1">
      <alignment horizontal="center" vertical="center"/>
    </xf>
    <xf numFmtId="0" fontId="21" fillId="0" borderId="1" xfId="0" applyNumberFormat="1" applyFont="1" applyBorder="1" applyAlignment="1">
      <alignment horizontal="center" vertical="center"/>
    </xf>
    <xf numFmtId="0" fontId="48" fillId="4" borderId="1" xfId="0" applyNumberFormat="1" applyFont="1" applyFill="1" applyBorder="1" applyAlignment="1">
      <alignment horizontal="center" vertical="center"/>
    </xf>
    <xf numFmtId="173" fontId="47" fillId="8" borderId="21" xfId="0" applyNumberFormat="1" applyFont="1" applyFill="1" applyBorder="1" applyAlignment="1" applyProtection="1">
      <alignment horizontal="center" vertical="center"/>
      <protection hidden="1"/>
    </xf>
    <xf numFmtId="173" fontId="21" fillId="8" borderId="31" xfId="0" applyNumberFormat="1" applyFont="1" applyFill="1" applyBorder="1" applyAlignment="1" applyProtection="1">
      <alignment horizontal="center" vertical="center"/>
      <protection hidden="1"/>
    </xf>
    <xf numFmtId="173" fontId="47" fillId="2" borderId="21" xfId="0" applyNumberFormat="1" applyFont="1" applyFill="1" applyBorder="1" applyAlignment="1" applyProtection="1">
      <alignment horizontal="center" vertical="center"/>
      <protection hidden="1"/>
    </xf>
    <xf numFmtId="173" fontId="21" fillId="2" borderId="31" xfId="0" applyNumberFormat="1" applyFont="1" applyFill="1" applyBorder="1" applyAlignment="1" applyProtection="1">
      <alignment horizontal="center" vertical="center"/>
      <protection hidden="1"/>
    </xf>
    <xf numFmtId="173" fontId="47" fillId="9" borderId="21" xfId="0" applyNumberFormat="1" applyFont="1" applyFill="1" applyBorder="1" applyAlignment="1" applyProtection="1">
      <alignment horizontal="center" vertical="center"/>
      <protection hidden="1"/>
    </xf>
    <xf numFmtId="173" fontId="48" fillId="4" borderId="31" xfId="0" applyNumberFormat="1" applyFont="1" applyFill="1" applyBorder="1" applyAlignment="1" applyProtection="1">
      <alignment horizontal="center" vertical="center"/>
      <protection hidden="1"/>
    </xf>
    <xf numFmtId="173" fontId="47" fillId="10" borderId="25" xfId="0" applyNumberFormat="1" applyFont="1" applyFill="1" applyBorder="1" applyAlignment="1" applyProtection="1">
      <alignment horizontal="center" vertical="center"/>
      <protection hidden="1"/>
    </xf>
    <xf numFmtId="174" fontId="47" fillId="8" borderId="29" xfId="0" applyNumberFormat="1" applyFont="1" applyFill="1" applyBorder="1" applyAlignment="1" applyProtection="1">
      <alignment horizontal="center" vertical="center" wrapText="1"/>
      <protection hidden="1"/>
    </xf>
    <xf numFmtId="174" fontId="47" fillId="8" borderId="21" xfId="0" applyNumberFormat="1" applyFont="1" applyFill="1" applyBorder="1" applyAlignment="1" applyProtection="1">
      <alignment horizontal="center" vertical="center" wrapText="1"/>
      <protection hidden="1"/>
    </xf>
    <xf numFmtId="0" fontId="47" fillId="2" borderId="25" xfId="0" applyFont="1" applyFill="1" applyBorder="1" applyAlignment="1" applyProtection="1">
      <alignment horizontal="center" vertical="center"/>
      <protection hidden="1"/>
    </xf>
    <xf numFmtId="0" fontId="47" fillId="2" borderId="21" xfId="0" applyFont="1" applyFill="1" applyBorder="1" applyAlignment="1" applyProtection="1">
      <alignment horizontal="center" vertical="center"/>
      <protection hidden="1"/>
    </xf>
    <xf numFmtId="0" fontId="47" fillId="9" borderId="25" xfId="0" applyFont="1" applyFill="1" applyBorder="1" applyAlignment="1" applyProtection="1">
      <alignment horizontal="center" vertical="center"/>
      <protection hidden="1"/>
    </xf>
    <xf numFmtId="0" fontId="47" fillId="9" borderId="29" xfId="0" applyFont="1" applyFill="1" applyBorder="1" applyAlignment="1" applyProtection="1">
      <alignment horizontal="center" vertical="center"/>
      <protection hidden="1"/>
    </xf>
    <xf numFmtId="0" fontId="47" fillId="10" borderId="27" xfId="0" applyFont="1" applyFill="1" applyBorder="1" applyAlignment="1" applyProtection="1">
      <alignment horizontal="center" vertical="center"/>
      <protection hidden="1"/>
    </xf>
    <xf numFmtId="178" fontId="21" fillId="8" borderId="8" xfId="0" applyNumberFormat="1" applyFont="1" applyFill="1" applyBorder="1" applyAlignment="1" applyProtection="1">
      <alignment horizontal="center" vertical="center" wrapText="1"/>
      <protection hidden="1"/>
    </xf>
    <xf numFmtId="178" fontId="21" fillId="8" borderId="9" xfId="0" applyNumberFormat="1" applyFont="1" applyFill="1" applyBorder="1" applyAlignment="1" applyProtection="1">
      <alignment horizontal="center" vertical="center" wrapText="1"/>
      <protection hidden="1"/>
    </xf>
    <xf numFmtId="178" fontId="21" fillId="2" borderId="8" xfId="0" applyNumberFormat="1" applyFont="1" applyFill="1" applyBorder="1" applyAlignment="1" applyProtection="1">
      <alignment horizontal="center" vertical="center" wrapText="1"/>
      <protection hidden="1"/>
    </xf>
    <xf numFmtId="178" fontId="21" fillId="2" borderId="9" xfId="0" applyNumberFormat="1" applyFont="1" applyFill="1" applyBorder="1" applyAlignment="1" applyProtection="1">
      <alignment horizontal="center" vertical="center" wrapText="1"/>
      <protection hidden="1"/>
    </xf>
    <xf numFmtId="178" fontId="21" fillId="9" borderId="9" xfId="0" applyNumberFormat="1" applyFont="1" applyFill="1" applyBorder="1" applyAlignment="1" applyProtection="1">
      <alignment horizontal="center" vertical="center" wrapText="1"/>
      <protection hidden="1"/>
    </xf>
    <xf numFmtId="178" fontId="21" fillId="10" borderId="8" xfId="0" applyNumberFormat="1" applyFont="1" applyFill="1" applyBorder="1" applyAlignment="1" applyProtection="1">
      <alignment horizontal="center" vertical="center" wrapText="1"/>
      <protection hidden="1"/>
    </xf>
    <xf numFmtId="1" fontId="47" fillId="8" borderId="41" xfId="0" applyNumberFormat="1" applyFont="1" applyFill="1" applyBorder="1" applyAlignment="1" applyProtection="1">
      <alignment horizontal="center" vertical="center" shrinkToFit="1"/>
      <protection hidden="1"/>
    </xf>
    <xf numFmtId="1" fontId="47" fillId="8" borderId="0" xfId="0" applyNumberFormat="1" applyFont="1" applyFill="1" applyBorder="1" applyAlignment="1" applyProtection="1">
      <alignment horizontal="center" vertical="center" shrinkToFit="1"/>
      <protection hidden="1"/>
    </xf>
    <xf numFmtId="1" fontId="47" fillId="2" borderId="41" xfId="0" applyNumberFormat="1" applyFont="1" applyFill="1" applyBorder="1" applyAlignment="1" applyProtection="1">
      <alignment horizontal="center" vertical="center" shrinkToFit="1"/>
      <protection hidden="1"/>
    </xf>
    <xf numFmtId="1" fontId="47" fillId="10" borderId="8" xfId="0" applyNumberFormat="1" applyFont="1" applyFill="1" applyBorder="1" applyAlignment="1" applyProtection="1">
      <alignment horizontal="center" vertical="center" shrinkToFit="1"/>
      <protection hidden="1"/>
    </xf>
    <xf numFmtId="179" fontId="21" fillId="5" borderId="1" xfId="0" applyNumberFormat="1" applyFont="1" applyFill="1" applyBorder="1" applyAlignment="1" applyProtection="1">
      <alignment horizontal="center" vertical="center" shrinkToFit="1"/>
      <protection locked="0"/>
    </xf>
    <xf numFmtId="0" fontId="47" fillId="0" borderId="0" xfId="0" applyFont="1" applyAlignment="1" applyProtection="1">
      <alignment horizontal="center" vertical="center"/>
      <protection hidden="1"/>
    </xf>
    <xf numFmtId="0" fontId="21" fillId="10" borderId="2" xfId="0" applyFont="1" applyFill="1" applyBorder="1" applyAlignment="1" applyProtection="1">
      <alignment horizontal="center" vertical="center"/>
      <protection hidden="1"/>
    </xf>
    <xf numFmtId="0" fontId="47" fillId="8" borderId="16" xfId="0" applyFont="1" applyFill="1" applyBorder="1" applyAlignment="1" applyProtection="1">
      <alignment horizontal="center" vertical="center"/>
      <protection hidden="1"/>
    </xf>
    <xf numFmtId="0" fontId="47" fillId="8" borderId="18" xfId="0" applyFont="1" applyFill="1" applyBorder="1" applyAlignment="1" applyProtection="1">
      <alignment horizontal="center" vertical="center"/>
      <protection hidden="1"/>
    </xf>
    <xf numFmtId="0" fontId="47" fillId="8" borderId="20" xfId="0" applyFont="1" applyFill="1" applyBorder="1" applyAlignment="1" applyProtection="1">
      <alignment horizontal="center" vertical="center"/>
      <protection hidden="1"/>
    </xf>
    <xf numFmtId="0" fontId="21" fillId="2" borderId="16" xfId="0" applyFont="1" applyFill="1" applyBorder="1" applyAlignment="1" applyProtection="1">
      <alignment horizontal="center" vertical="center"/>
      <protection hidden="1"/>
    </xf>
    <xf numFmtId="0" fontId="21" fillId="2" borderId="20" xfId="0" applyFont="1" applyFill="1" applyBorder="1" applyAlignment="1" applyProtection="1">
      <alignment horizontal="center" vertical="center"/>
      <protection hidden="1"/>
    </xf>
    <xf numFmtId="0" fontId="21" fillId="9" borderId="16" xfId="0" applyFont="1" applyFill="1" applyBorder="1" applyAlignment="1" applyProtection="1">
      <alignment horizontal="center" vertical="center"/>
      <protection hidden="1"/>
    </xf>
    <xf numFmtId="0" fontId="21" fillId="9" borderId="20" xfId="0" applyFont="1" applyFill="1" applyBorder="1" applyAlignment="1" applyProtection="1">
      <alignment horizontal="center" vertical="center"/>
      <protection hidden="1"/>
    </xf>
    <xf numFmtId="0" fontId="21" fillId="10" borderId="4" xfId="0" applyFont="1" applyFill="1" applyBorder="1" applyAlignment="1" applyProtection="1">
      <alignment horizontal="center" vertical="center"/>
      <protection hidden="1"/>
    </xf>
    <xf numFmtId="0" fontId="47" fillId="0" borderId="0" xfId="0" applyFont="1" applyBorder="1" applyAlignment="1" applyProtection="1">
      <alignment horizontal="center" vertical="center"/>
      <protection hidden="1"/>
    </xf>
    <xf numFmtId="0" fontId="49" fillId="2" borderId="16" xfId="95" applyFont="1" applyFill="1" applyBorder="1" applyAlignment="1" applyProtection="1">
      <alignment horizontal="center" vertical="center"/>
      <protection hidden="1"/>
    </xf>
    <xf numFmtId="0" fontId="49" fillId="2" borderId="20" xfId="95" applyFont="1" applyFill="1" applyBorder="1" applyAlignment="1" applyProtection="1">
      <alignment horizontal="center" vertical="center"/>
      <protection hidden="1"/>
    </xf>
    <xf numFmtId="0" fontId="49" fillId="9" borderId="16" xfId="95" applyFont="1" applyFill="1" applyBorder="1" applyAlignment="1" applyProtection="1">
      <alignment horizontal="center" vertical="center"/>
      <protection hidden="1"/>
    </xf>
    <xf numFmtId="0" fontId="49" fillId="9" borderId="20" xfId="95" applyFont="1" applyFill="1" applyBorder="1" applyAlignment="1" applyProtection="1">
      <alignment horizontal="center" vertical="center"/>
      <protection hidden="1"/>
    </xf>
    <xf numFmtId="0" fontId="21" fillId="10" borderId="16" xfId="0" applyFont="1" applyFill="1" applyBorder="1" applyAlignment="1" applyProtection="1">
      <alignment horizontal="center" vertical="center"/>
      <protection hidden="1"/>
    </xf>
    <xf numFmtId="9" fontId="47" fillId="8" borderId="23" xfId="0" applyNumberFormat="1" applyFont="1" applyFill="1" applyBorder="1" applyAlignment="1" applyProtection="1">
      <alignment horizontal="center" vertical="center"/>
      <protection hidden="1"/>
    </xf>
    <xf numFmtId="9" fontId="47" fillId="8" borderId="26" xfId="0" applyNumberFormat="1" applyFont="1" applyFill="1" applyBorder="1" applyAlignment="1" applyProtection="1">
      <alignment horizontal="center" vertical="center"/>
      <protection hidden="1"/>
    </xf>
    <xf numFmtId="9" fontId="47" fillId="2" borderId="25" xfId="0" applyNumberFormat="1" applyFont="1" applyFill="1" applyBorder="1" applyAlignment="1" applyProtection="1">
      <alignment horizontal="center" vertical="center"/>
      <protection hidden="1"/>
    </xf>
    <xf numFmtId="9" fontId="47" fillId="2" borderId="23" xfId="0" applyNumberFormat="1" applyFont="1" applyFill="1" applyBorder="1" applyAlignment="1" applyProtection="1">
      <alignment horizontal="center" vertical="center"/>
      <protection hidden="1"/>
    </xf>
    <xf numFmtId="9" fontId="47" fillId="9" borderId="27" xfId="0" applyNumberFormat="1" applyFont="1" applyFill="1" applyBorder="1" applyAlignment="1" applyProtection="1">
      <alignment horizontal="center" vertical="center"/>
      <protection hidden="1"/>
    </xf>
    <xf numFmtId="9" fontId="47" fillId="9" borderId="23" xfId="0" applyNumberFormat="1" applyFont="1" applyFill="1" applyBorder="1" applyAlignment="1" applyProtection="1">
      <alignment horizontal="center" vertical="center"/>
      <protection hidden="1"/>
    </xf>
    <xf numFmtId="9" fontId="47" fillId="9" borderId="29" xfId="0" applyNumberFormat="1" applyFont="1" applyFill="1" applyBorder="1" applyAlignment="1" applyProtection="1">
      <alignment horizontal="center" vertical="center"/>
      <protection hidden="1"/>
    </xf>
    <xf numFmtId="172" fontId="47" fillId="10" borderId="25" xfId="0" applyNumberFormat="1" applyFont="1" applyFill="1" applyBorder="1" applyAlignment="1" applyProtection="1">
      <alignment horizontal="center" vertical="center"/>
      <protection hidden="1"/>
    </xf>
    <xf numFmtId="0" fontId="47" fillId="8" borderId="21" xfId="0" applyFont="1" applyFill="1" applyBorder="1" applyAlignment="1" applyProtection="1">
      <alignment horizontal="center" vertical="center" wrapText="1"/>
      <protection hidden="1"/>
    </xf>
    <xf numFmtId="0" fontId="47" fillId="8" borderId="36" xfId="0" applyFont="1" applyFill="1" applyBorder="1" applyAlignment="1" applyProtection="1">
      <alignment horizontal="center" vertical="center"/>
      <protection hidden="1"/>
    </xf>
    <xf numFmtId="0" fontId="47" fillId="8" borderId="38" xfId="0" applyFont="1" applyFill="1" applyBorder="1" applyAlignment="1" applyProtection="1">
      <alignment horizontal="center" vertical="center"/>
      <protection hidden="1"/>
    </xf>
    <xf numFmtId="0" fontId="47" fillId="2" borderId="40" xfId="0" applyFont="1" applyFill="1" applyBorder="1" applyAlignment="1" applyProtection="1">
      <alignment horizontal="center" vertical="center"/>
      <protection hidden="1"/>
    </xf>
    <xf numFmtId="175" fontId="47" fillId="2" borderId="38" xfId="0" applyNumberFormat="1" applyFont="1" applyFill="1" applyBorder="1" applyAlignment="1" applyProtection="1">
      <alignment horizontal="center" vertical="center"/>
      <protection hidden="1"/>
    </xf>
    <xf numFmtId="0" fontId="47" fillId="9" borderId="40" xfId="0" applyFont="1" applyFill="1" applyBorder="1" applyAlignment="1" applyProtection="1">
      <alignment horizontal="center" vertical="center"/>
      <protection hidden="1"/>
    </xf>
    <xf numFmtId="175" fontId="47" fillId="9" borderId="38" xfId="0" quotePrefix="1" applyNumberFormat="1" applyFont="1" applyFill="1" applyBorder="1" applyAlignment="1" applyProtection="1">
      <alignment horizontal="center" vertical="center"/>
      <protection hidden="1"/>
    </xf>
    <xf numFmtId="176" fontId="47" fillId="9" borderId="38" xfId="0" applyNumberFormat="1" applyFont="1" applyFill="1" applyBorder="1" applyAlignment="1" applyProtection="1">
      <alignment horizontal="center" vertical="center"/>
      <protection hidden="1"/>
    </xf>
    <xf numFmtId="177" fontId="47" fillId="10" borderId="8" xfId="0" applyNumberFormat="1" applyFont="1" applyFill="1" applyBorder="1" applyAlignment="1" applyProtection="1">
      <alignment horizontal="center" vertical="center"/>
      <protection hidden="1"/>
    </xf>
    <xf numFmtId="14" fontId="47" fillId="0" borderId="0" xfId="0" applyNumberFormat="1" applyFont="1" applyAlignment="1">
      <alignment horizontal="center" vertical="center"/>
    </xf>
    <xf numFmtId="9" fontId="47" fillId="8" borderId="21" xfId="0" applyNumberFormat="1" applyFont="1" applyFill="1" applyBorder="1" applyAlignment="1" applyProtection="1">
      <alignment horizontal="center" vertical="center"/>
      <protection hidden="1"/>
    </xf>
    <xf numFmtId="0" fontId="47" fillId="0" borderId="0" xfId="0" applyFont="1" applyAlignment="1" applyProtection="1">
      <alignment horizontal="center" vertical="center" shrinkToFit="1"/>
      <protection hidden="1"/>
    </xf>
    <xf numFmtId="0" fontId="0" fillId="0" borderId="0" xfId="0" applyFont="1" applyAlignment="1">
      <alignment horizontal="left" vertical="top" wrapText="1"/>
    </xf>
    <xf numFmtId="0" fontId="10" fillId="3" borderId="31" xfId="0" applyFont="1" applyFill="1" applyBorder="1" applyAlignment="1">
      <alignment horizontal="center" vertical="center"/>
    </xf>
    <xf numFmtId="0" fontId="10" fillId="3" borderId="54" xfId="0" applyFont="1" applyFill="1" applyBorder="1" applyAlignment="1">
      <alignment horizontal="center" vertical="center"/>
    </xf>
    <xf numFmtId="0" fontId="10" fillId="3" borderId="32" xfId="0" applyFont="1" applyFill="1" applyBorder="1" applyAlignment="1">
      <alignment horizontal="center" vertical="center"/>
    </xf>
    <xf numFmtId="0" fontId="9" fillId="2" borderId="31" xfId="0" applyFont="1" applyFill="1" applyBorder="1" applyAlignment="1" applyProtection="1">
      <alignment horizontal="center" vertical="center" shrinkToFit="1"/>
      <protection hidden="1"/>
    </xf>
    <xf numFmtId="0" fontId="9" fillId="2" borderId="54" xfId="0" applyFont="1" applyFill="1" applyBorder="1" applyAlignment="1" applyProtection="1">
      <alignment horizontal="center" vertical="center" shrinkToFit="1"/>
      <protection hidden="1"/>
    </xf>
    <xf numFmtId="0" fontId="9" fillId="2" borderId="32" xfId="0" applyFont="1" applyFill="1" applyBorder="1" applyAlignment="1" applyProtection="1">
      <alignment horizontal="center" vertical="center" shrinkToFit="1"/>
      <protection hidden="1"/>
    </xf>
    <xf numFmtId="192" fontId="10" fillId="3" borderId="8" xfId="0" applyNumberFormat="1" applyFont="1" applyFill="1" applyBorder="1" applyAlignment="1">
      <alignment horizontal="center" vertical="center"/>
    </xf>
    <xf numFmtId="192" fontId="10" fillId="3" borderId="9" xfId="0" applyNumberFormat="1" applyFont="1" applyFill="1" applyBorder="1" applyAlignment="1">
      <alignment horizontal="center" vertical="center"/>
    </xf>
    <xf numFmtId="192" fontId="10" fillId="3" borderId="55" xfId="0" applyNumberFormat="1" applyFont="1" applyFill="1" applyBorder="1" applyAlignment="1">
      <alignment horizontal="center" vertical="center"/>
    </xf>
    <xf numFmtId="0" fontId="19" fillId="0" borderId="4" xfId="0" applyFont="1" applyFill="1" applyBorder="1" applyAlignment="1" applyProtection="1">
      <alignment horizontal="center" vertical="top"/>
      <protection hidden="1"/>
    </xf>
    <xf numFmtId="0" fontId="19" fillId="0" borderId="0" xfId="0" applyFont="1" applyFill="1" applyBorder="1" applyAlignment="1" applyProtection="1">
      <alignment horizontal="center" vertical="top"/>
      <protection hidden="1"/>
    </xf>
    <xf numFmtId="0" fontId="19" fillId="0" borderId="5" xfId="0" applyFont="1" applyFill="1" applyBorder="1" applyAlignment="1" applyProtection="1">
      <alignment horizontal="center" vertical="top"/>
      <protection hidden="1"/>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0" fillId="0" borderId="0" xfId="0" applyFont="1" applyAlignment="1">
      <alignment horizontal="left" vertical="center"/>
    </xf>
    <xf numFmtId="0" fontId="9" fillId="2" borderId="8" xfId="0" applyFont="1" applyFill="1" applyBorder="1" applyAlignment="1" applyProtection="1">
      <alignment horizontal="center" vertical="center" shrinkToFit="1"/>
      <protection hidden="1"/>
    </xf>
    <xf numFmtId="0" fontId="9" fillId="2" borderId="9" xfId="0" applyFont="1" applyFill="1" applyBorder="1" applyAlignment="1" applyProtection="1">
      <alignment horizontal="center" vertical="center" shrinkToFit="1"/>
      <protection hidden="1"/>
    </xf>
    <xf numFmtId="0" fontId="9" fillId="2" borderId="10" xfId="0" applyFont="1" applyFill="1" applyBorder="1" applyAlignment="1" applyProtection="1">
      <alignment horizontal="center" vertical="center" shrinkToFit="1"/>
      <protection hidden="1"/>
    </xf>
    <xf numFmtId="0" fontId="0"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10" xfId="0" applyFont="1" applyFill="1" applyBorder="1" applyAlignment="1">
      <alignment horizontal="center" vertical="center"/>
    </xf>
    <xf numFmtId="0" fontId="9" fillId="2" borderId="1" xfId="0" applyFont="1" applyFill="1" applyBorder="1" applyAlignment="1" applyProtection="1">
      <alignment horizontal="center" vertical="center" shrinkToFit="1"/>
      <protection hidden="1"/>
    </xf>
    <xf numFmtId="0" fontId="43" fillId="24" borderId="57" xfId="374" applyFont="1" applyFill="1" applyBorder="1" applyAlignment="1">
      <alignment horizontal="center"/>
    </xf>
    <xf numFmtId="0" fontId="43" fillId="24" borderId="0" xfId="374" applyFont="1" applyFill="1" applyBorder="1" applyAlignment="1">
      <alignment horizontal="center"/>
    </xf>
    <xf numFmtId="0" fontId="21" fillId="8" borderId="2" xfId="0" applyFont="1" applyFill="1" applyBorder="1" applyAlignment="1" applyProtection="1">
      <alignment horizontal="center" vertical="center"/>
      <protection hidden="1"/>
    </xf>
    <xf numFmtId="0" fontId="21" fillId="8" borderId="12" xfId="0" applyFont="1" applyFill="1" applyBorder="1" applyAlignment="1" applyProtection="1">
      <alignment horizontal="center" vertical="center"/>
      <protection hidden="1"/>
    </xf>
    <xf numFmtId="0" fontId="21" fillId="8" borderId="3" xfId="0" applyFont="1" applyFill="1" applyBorder="1" applyAlignment="1" applyProtection="1">
      <alignment horizontal="center" vertical="center"/>
      <protection hidden="1"/>
    </xf>
    <xf numFmtId="0" fontId="21" fillId="2" borderId="2" xfId="0" applyFont="1" applyFill="1" applyBorder="1" applyAlignment="1" applyProtection="1">
      <alignment horizontal="center" vertical="center"/>
      <protection hidden="1"/>
    </xf>
    <xf numFmtId="0" fontId="21" fillId="2" borderId="3" xfId="0" applyFont="1" applyFill="1" applyBorder="1" applyAlignment="1" applyProtection="1">
      <alignment horizontal="center" vertical="center"/>
      <protection hidden="1"/>
    </xf>
    <xf numFmtId="0" fontId="21" fillId="9" borderId="2" xfId="0" applyFont="1" applyFill="1" applyBorder="1" applyAlignment="1" applyProtection="1">
      <alignment horizontal="center" vertical="center"/>
      <protection hidden="1"/>
    </xf>
    <xf numFmtId="0" fontId="21" fillId="9" borderId="12" xfId="0" applyFont="1" applyFill="1" applyBorder="1" applyAlignment="1" applyProtection="1">
      <alignment horizontal="center" vertical="center"/>
      <protection hidden="1"/>
    </xf>
    <xf numFmtId="0" fontId="21" fillId="9" borderId="3" xfId="0" applyFont="1" applyFill="1" applyBorder="1" applyAlignment="1" applyProtection="1">
      <alignment horizontal="center" vertical="center"/>
      <protection hidden="1"/>
    </xf>
    <xf numFmtId="0" fontId="47" fillId="0" borderId="0" xfId="0" applyFont="1" applyBorder="1" applyAlignment="1" applyProtection="1">
      <alignment horizontal="center" vertical="center" wrapText="1"/>
      <protection hidden="1"/>
    </xf>
    <xf numFmtId="0" fontId="21" fillId="2" borderId="8" xfId="0" applyFont="1" applyFill="1" applyBorder="1" applyAlignment="1" applyProtection="1">
      <alignment horizontal="center" vertical="center" shrinkToFit="1"/>
      <protection hidden="1"/>
    </xf>
    <xf numFmtId="0" fontId="21" fillId="2" borderId="9" xfId="0" applyFont="1" applyFill="1" applyBorder="1" applyAlignment="1" applyProtection="1">
      <alignment horizontal="center" vertical="center" shrinkToFit="1"/>
      <protection hidden="1"/>
    </xf>
    <xf numFmtId="0" fontId="21" fillId="2" borderId="10" xfId="0" applyFont="1" applyFill="1" applyBorder="1" applyAlignment="1" applyProtection="1">
      <alignment horizontal="center" vertical="center" shrinkToFit="1"/>
      <protection hidden="1"/>
    </xf>
    <xf numFmtId="0" fontId="21" fillId="3" borderId="8" xfId="0" applyFont="1" applyFill="1" applyBorder="1" applyAlignment="1">
      <alignment horizontal="center" vertical="center"/>
    </xf>
    <xf numFmtId="0" fontId="21" fillId="3" borderId="10" xfId="0" applyFont="1" applyFill="1" applyBorder="1" applyAlignment="1">
      <alignment horizontal="center" vertical="center"/>
    </xf>
    <xf numFmtId="0" fontId="9" fillId="20" borderId="8" xfId="0" applyFont="1" applyFill="1" applyBorder="1" applyAlignment="1" applyProtection="1">
      <alignment horizontal="center" vertical="center" shrinkToFit="1"/>
      <protection hidden="1"/>
    </xf>
    <xf numFmtId="0" fontId="9" fillId="20" borderId="9" xfId="0" applyFont="1" applyFill="1" applyBorder="1" applyAlignment="1" applyProtection="1">
      <alignment horizontal="center" vertical="center" shrinkToFit="1"/>
      <protection hidden="1"/>
    </xf>
    <xf numFmtId="0" fontId="9" fillId="20" borderId="10" xfId="0" applyFont="1" applyFill="1" applyBorder="1" applyAlignment="1" applyProtection="1">
      <alignment horizontal="center" vertical="center" shrinkToFit="1"/>
      <protection hidden="1"/>
    </xf>
    <xf numFmtId="0" fontId="10" fillId="3" borderId="8" xfId="0" applyFont="1" applyFill="1" applyBorder="1" applyAlignment="1">
      <alignment horizontal="center" vertical="center"/>
    </xf>
    <xf numFmtId="0" fontId="10" fillId="3" borderId="9" xfId="0" applyFont="1" applyFill="1" applyBorder="1" applyAlignment="1">
      <alignment horizontal="center" vertical="center"/>
    </xf>
    <xf numFmtId="0" fontId="10" fillId="3" borderId="10" xfId="0" applyFont="1" applyFill="1" applyBorder="1" applyAlignment="1">
      <alignment horizontal="center" vertical="center"/>
    </xf>
    <xf numFmtId="0" fontId="0" fillId="0" borderId="0" xfId="0" applyAlignment="1" applyProtection="1">
      <alignment horizontal="left"/>
      <protection hidden="1"/>
    </xf>
    <xf numFmtId="0" fontId="19" fillId="2" borderId="8" xfId="0" applyFont="1" applyFill="1" applyBorder="1" applyAlignment="1" applyProtection="1">
      <alignment horizontal="center" vertical="center"/>
      <protection hidden="1"/>
    </xf>
    <xf numFmtId="0" fontId="19" fillId="2" borderId="9" xfId="0" applyFont="1" applyFill="1" applyBorder="1" applyAlignment="1" applyProtection="1">
      <alignment horizontal="center" vertical="center"/>
      <protection hidden="1"/>
    </xf>
    <xf numFmtId="0" fontId="19" fillId="2" borderId="10" xfId="0" applyFont="1" applyFill="1" applyBorder="1" applyAlignment="1" applyProtection="1">
      <alignment horizontal="center" vertical="center"/>
      <protection hidden="1"/>
    </xf>
    <xf numFmtId="184" fontId="0" fillId="5" borderId="8" xfId="0" applyNumberFormat="1" applyFill="1" applyBorder="1" applyAlignment="1" applyProtection="1">
      <alignment horizontal="center" shrinkToFit="1"/>
      <protection locked="0"/>
    </xf>
    <xf numFmtId="184" fontId="0" fillId="5" borderId="10" xfId="0" applyNumberFormat="1" applyFill="1" applyBorder="1" applyAlignment="1" applyProtection="1">
      <alignment horizontal="center" shrinkToFit="1"/>
      <protection locked="0"/>
    </xf>
    <xf numFmtId="189" fontId="19" fillId="8" borderId="2" xfId="0" applyNumberFormat="1" applyFont="1" applyFill="1" applyBorder="1" applyAlignment="1" applyProtection="1">
      <alignment horizontal="center" vertical="center"/>
      <protection hidden="1"/>
    </xf>
    <xf numFmtId="189" fontId="19" fillId="8" borderId="3" xfId="0" applyNumberFormat="1" applyFont="1" applyFill="1" applyBorder="1" applyAlignment="1" applyProtection="1">
      <alignment horizontal="center" vertical="center"/>
      <protection hidden="1"/>
    </xf>
    <xf numFmtId="189" fontId="19" fillId="8" borderId="6" xfId="0" applyNumberFormat="1" applyFont="1" applyFill="1" applyBorder="1" applyAlignment="1" applyProtection="1">
      <alignment horizontal="center" vertical="center"/>
      <protection hidden="1"/>
    </xf>
    <xf numFmtId="189" fontId="19" fillId="8" borderId="7" xfId="0" applyNumberFormat="1" applyFont="1" applyFill="1" applyBorder="1" applyAlignment="1" applyProtection="1">
      <alignment horizontal="center" vertical="center"/>
      <protection hidden="1"/>
    </xf>
    <xf numFmtId="0" fontId="13" fillId="0" borderId="0" xfId="0" applyFont="1" applyAlignment="1" applyProtection="1">
      <alignment horizontal="center"/>
      <protection hidden="1"/>
    </xf>
    <xf numFmtId="0" fontId="13" fillId="0" borderId="0" xfId="0" applyFont="1" applyBorder="1" applyAlignment="1" applyProtection="1">
      <alignment horizontal="center"/>
      <protection hidden="1"/>
    </xf>
    <xf numFmtId="0" fontId="0" fillId="0" borderId="0" xfId="0" quotePrefix="1" applyAlignment="1" applyProtection="1">
      <alignment horizontal="left" wrapText="1"/>
      <protection hidden="1"/>
    </xf>
    <xf numFmtId="0" fontId="35" fillId="6" borderId="2" xfId="95" applyFont="1" applyFill="1" applyBorder="1" applyAlignment="1" applyProtection="1">
      <alignment horizontal="center" vertical="center" shrinkToFit="1"/>
      <protection hidden="1"/>
    </xf>
    <xf numFmtId="0" fontId="35" fillId="6" borderId="3" xfId="95" applyFont="1" applyFill="1" applyBorder="1" applyAlignment="1" applyProtection="1">
      <alignment horizontal="center" vertical="center" shrinkToFit="1"/>
      <protection hidden="1"/>
    </xf>
    <xf numFmtId="0" fontId="35" fillId="6" borderId="6" xfId="95" applyFont="1" applyFill="1" applyBorder="1" applyAlignment="1" applyProtection="1">
      <alignment horizontal="center" vertical="center" shrinkToFit="1"/>
      <protection hidden="1"/>
    </xf>
    <xf numFmtId="0" fontId="35" fillId="6" borderId="7" xfId="95" applyFont="1" applyFill="1" applyBorder="1" applyAlignment="1" applyProtection="1">
      <alignment horizontal="center" vertical="center" shrinkToFit="1"/>
      <protection hidden="1"/>
    </xf>
    <xf numFmtId="0" fontId="18" fillId="0" borderId="0" xfId="95" applyFont="1" applyBorder="1" applyAlignment="1" applyProtection="1">
      <alignment horizontal="center" vertical="center" shrinkToFit="1"/>
      <protection hidden="1"/>
    </xf>
    <xf numFmtId="0" fontId="10" fillId="0" borderId="0" xfId="0" applyFont="1" applyBorder="1" applyAlignment="1" applyProtection="1">
      <alignment horizontal="right"/>
      <protection hidden="1"/>
    </xf>
    <xf numFmtId="189" fontId="34" fillId="8" borderId="2" xfId="0" applyNumberFormat="1" applyFont="1" applyFill="1" applyBorder="1" applyAlignment="1" applyProtection="1">
      <alignment horizontal="center"/>
      <protection hidden="1"/>
    </xf>
    <xf numFmtId="189" fontId="34" fillId="8" borderId="3" xfId="0" applyNumberFormat="1" applyFont="1" applyFill="1" applyBorder="1" applyAlignment="1" applyProtection="1">
      <alignment horizontal="center"/>
      <protection hidden="1"/>
    </xf>
    <xf numFmtId="189" fontId="34" fillId="8" borderId="6" xfId="0" applyNumberFormat="1" applyFont="1" applyFill="1" applyBorder="1" applyAlignment="1" applyProtection="1">
      <alignment horizontal="center"/>
      <protection hidden="1"/>
    </xf>
    <xf numFmtId="189" fontId="34" fillId="8" borderId="7" xfId="0" applyNumberFormat="1" applyFont="1" applyFill="1" applyBorder="1" applyAlignment="1" applyProtection="1">
      <alignment horizontal="center"/>
      <protection hidden="1"/>
    </xf>
    <xf numFmtId="0" fontId="13" fillId="0" borderId="5" xfId="0" applyFont="1" applyBorder="1" applyAlignment="1" applyProtection="1">
      <alignment horizontal="center"/>
      <protection hidden="1"/>
    </xf>
    <xf numFmtId="1" fontId="4" fillId="10" borderId="8" xfId="0" applyNumberFormat="1" applyFont="1" applyFill="1" applyBorder="1" applyAlignment="1" applyProtection="1">
      <alignment horizontal="center" vertical="center" shrinkToFit="1"/>
      <protection hidden="1"/>
    </xf>
    <xf numFmtId="1" fontId="4" fillId="10" borderId="9" xfId="0" applyNumberFormat="1" applyFont="1" applyFill="1" applyBorder="1" applyAlignment="1" applyProtection="1">
      <alignment horizontal="center" vertical="center" shrinkToFit="1"/>
      <protection hidden="1"/>
    </xf>
    <xf numFmtId="177" fontId="0" fillId="10" borderId="8" xfId="0" applyNumberFormat="1" applyFill="1" applyBorder="1" applyAlignment="1" applyProtection="1">
      <alignment horizontal="center"/>
      <protection hidden="1"/>
    </xf>
    <xf numFmtId="177" fontId="0" fillId="10" borderId="9" xfId="0" applyNumberFormat="1" applyFill="1" applyBorder="1" applyAlignment="1" applyProtection="1">
      <alignment horizontal="center"/>
      <protection hidden="1"/>
    </xf>
    <xf numFmtId="177" fontId="0" fillId="10" borderId="10" xfId="0" applyNumberFormat="1" applyFill="1" applyBorder="1" applyAlignment="1" applyProtection="1">
      <alignment horizontal="center"/>
      <protection hidden="1"/>
    </xf>
    <xf numFmtId="178" fontId="10" fillId="8" borderId="8" xfId="0" applyNumberFormat="1" applyFont="1" applyFill="1" applyBorder="1" applyAlignment="1" applyProtection="1">
      <alignment horizontal="center" vertical="center" wrapText="1"/>
      <protection hidden="1"/>
    </xf>
    <xf numFmtId="178" fontId="10" fillId="8" borderId="9" xfId="0" applyNumberFormat="1" applyFont="1" applyFill="1" applyBorder="1" applyAlignment="1" applyProtection="1">
      <alignment horizontal="center" vertical="center" wrapText="1"/>
      <protection hidden="1"/>
    </xf>
    <xf numFmtId="178" fontId="10" fillId="8" borderId="10" xfId="0" applyNumberFormat="1" applyFont="1" applyFill="1" applyBorder="1" applyAlignment="1" applyProtection="1">
      <alignment horizontal="center" vertical="center" wrapText="1"/>
      <protection hidden="1"/>
    </xf>
    <xf numFmtId="178" fontId="10" fillId="2" borderId="8" xfId="0" applyNumberFormat="1" applyFont="1" applyFill="1" applyBorder="1" applyAlignment="1" applyProtection="1">
      <alignment horizontal="center" vertical="center" wrapText="1"/>
      <protection hidden="1"/>
    </xf>
    <xf numFmtId="178" fontId="10" fillId="2" borderId="9" xfId="0" applyNumberFormat="1" applyFont="1" applyFill="1" applyBorder="1" applyAlignment="1" applyProtection="1">
      <alignment horizontal="center" vertical="center" wrapText="1"/>
      <protection hidden="1"/>
    </xf>
    <xf numFmtId="178" fontId="10" fillId="2" borderId="10" xfId="0" applyNumberFormat="1" applyFont="1" applyFill="1" applyBorder="1" applyAlignment="1" applyProtection="1">
      <alignment horizontal="center" vertical="center" wrapText="1"/>
      <protection hidden="1"/>
    </xf>
    <xf numFmtId="0" fontId="0" fillId="8" borderId="21" xfId="0" applyFill="1" applyBorder="1" applyAlignment="1" applyProtection="1">
      <alignment horizontal="center" wrapText="1"/>
      <protection hidden="1"/>
    </xf>
    <xf numFmtId="0" fontId="0" fillId="8" borderId="22" xfId="0" applyFill="1" applyBorder="1" applyAlignment="1" applyProtection="1">
      <alignment horizontal="center" wrapText="1"/>
      <protection hidden="1"/>
    </xf>
    <xf numFmtId="174" fontId="0" fillId="8" borderId="29" xfId="0" applyNumberFormat="1" applyFill="1" applyBorder="1" applyAlignment="1" applyProtection="1">
      <alignment horizontal="center" vertical="center" wrapText="1"/>
      <protection hidden="1"/>
    </xf>
    <xf numFmtId="174" fontId="0" fillId="8" borderId="30" xfId="0" applyNumberFormat="1" applyFill="1" applyBorder="1" applyAlignment="1" applyProtection="1">
      <alignment horizontal="center" vertical="center" wrapText="1"/>
      <protection hidden="1"/>
    </xf>
    <xf numFmtId="0" fontId="0" fillId="2" borderId="25" xfId="0" applyFill="1" applyBorder="1" applyAlignment="1" applyProtection="1">
      <alignment horizontal="center" vertical="center"/>
      <protection hidden="1"/>
    </xf>
    <xf numFmtId="0" fontId="0" fillId="2" borderId="21" xfId="0" applyFill="1" applyBorder="1" applyAlignment="1" applyProtection="1">
      <alignment horizontal="center" vertical="center"/>
      <protection hidden="1"/>
    </xf>
    <xf numFmtId="1" fontId="21" fillId="8" borderId="27" xfId="0" applyNumberFormat="1" applyFont="1" applyFill="1" applyBorder="1" applyAlignment="1" applyProtection="1">
      <alignment horizontal="center" vertical="center"/>
      <protection hidden="1"/>
    </xf>
    <xf numFmtId="1" fontId="21" fillId="8" borderId="28" xfId="0" applyNumberFormat="1" applyFont="1" applyFill="1" applyBorder="1" applyAlignment="1" applyProtection="1">
      <alignment horizontal="center" vertical="center"/>
      <protection hidden="1"/>
    </xf>
    <xf numFmtId="1" fontId="21" fillId="8" borderId="16" xfId="0" applyNumberFormat="1" applyFont="1" applyFill="1" applyBorder="1" applyAlignment="1" applyProtection="1">
      <alignment horizontal="center" vertical="center"/>
      <protection hidden="1"/>
    </xf>
    <xf numFmtId="1" fontId="21" fillId="8" borderId="17" xfId="0" applyNumberFormat="1" applyFont="1" applyFill="1" applyBorder="1" applyAlignment="1" applyProtection="1">
      <alignment horizontal="center" vertical="center"/>
      <protection hidden="1"/>
    </xf>
    <xf numFmtId="1" fontId="21" fillId="8" borderId="33" xfId="0" applyNumberFormat="1" applyFont="1" applyFill="1" applyBorder="1" applyAlignment="1" applyProtection="1">
      <alignment horizontal="center" vertical="center"/>
      <protection hidden="1"/>
    </xf>
    <xf numFmtId="1" fontId="21" fillId="8" borderId="34" xfId="0" applyNumberFormat="1" applyFont="1" applyFill="1" applyBorder="1" applyAlignment="1" applyProtection="1">
      <alignment horizontal="center" vertical="center"/>
      <protection hidden="1"/>
    </xf>
    <xf numFmtId="1" fontId="21" fillId="8" borderId="18" xfId="0" applyNumberFormat="1" applyFont="1" applyFill="1" applyBorder="1" applyAlignment="1" applyProtection="1">
      <alignment horizontal="center" vertical="center"/>
      <protection hidden="1"/>
    </xf>
    <xf numFmtId="1" fontId="21" fillId="8" borderId="19" xfId="0" applyNumberFormat="1" applyFont="1" applyFill="1" applyBorder="1" applyAlignment="1" applyProtection="1">
      <alignment horizontal="center" vertical="center"/>
      <protection hidden="1"/>
    </xf>
    <xf numFmtId="1" fontId="21" fillId="2" borderId="27" xfId="0" applyNumberFormat="1" applyFont="1" applyFill="1" applyBorder="1" applyAlignment="1" applyProtection="1">
      <alignment horizontal="center" vertical="center"/>
      <protection hidden="1"/>
    </xf>
    <xf numFmtId="1" fontId="21" fillId="2" borderId="26" xfId="0" applyNumberFormat="1" applyFont="1" applyFill="1" applyBorder="1" applyAlignment="1" applyProtection="1">
      <alignment horizontal="center" vertical="center"/>
      <protection hidden="1"/>
    </xf>
    <xf numFmtId="1" fontId="21" fillId="2" borderId="16" xfId="0" applyNumberFormat="1" applyFont="1" applyFill="1" applyBorder="1" applyAlignment="1" applyProtection="1">
      <alignment horizontal="center" vertical="center"/>
      <protection hidden="1"/>
    </xf>
    <xf numFmtId="1" fontId="21" fillId="2" borderId="20" xfId="0" applyNumberFormat="1" applyFont="1" applyFill="1" applyBorder="1" applyAlignment="1" applyProtection="1">
      <alignment horizontal="center" vertical="center"/>
      <protection hidden="1"/>
    </xf>
    <xf numFmtId="1" fontId="21" fillId="2" borderId="33" xfId="0" applyNumberFormat="1" applyFont="1" applyFill="1" applyBorder="1" applyAlignment="1" applyProtection="1">
      <alignment horizontal="center" vertical="center"/>
      <protection hidden="1"/>
    </xf>
    <xf numFmtId="1" fontId="21" fillId="2" borderId="34" xfId="0" applyNumberFormat="1" applyFont="1" applyFill="1" applyBorder="1" applyAlignment="1" applyProtection="1">
      <alignment horizontal="center" vertical="center"/>
      <protection hidden="1"/>
    </xf>
    <xf numFmtId="1" fontId="21" fillId="2" borderId="18" xfId="0" applyNumberFormat="1" applyFont="1" applyFill="1" applyBorder="1" applyAlignment="1" applyProtection="1">
      <alignment horizontal="center" vertical="center"/>
      <protection hidden="1"/>
    </xf>
    <xf numFmtId="1" fontId="21" fillId="2" borderId="19" xfId="0" applyNumberFormat="1" applyFont="1" applyFill="1" applyBorder="1" applyAlignment="1" applyProtection="1">
      <alignment horizontal="center" vertical="center"/>
      <protection hidden="1"/>
    </xf>
    <xf numFmtId="172" fontId="0" fillId="10" borderId="25" xfId="0" applyNumberFormat="1" applyFill="1" applyBorder="1" applyAlignment="1" applyProtection="1">
      <alignment horizontal="center"/>
      <protection hidden="1"/>
    </xf>
    <xf numFmtId="172" fontId="0" fillId="10" borderId="21" xfId="0" applyNumberFormat="1" applyFill="1" applyBorder="1" applyAlignment="1" applyProtection="1">
      <alignment horizontal="center"/>
      <protection hidden="1"/>
    </xf>
    <xf numFmtId="172" fontId="0" fillId="10" borderId="30" xfId="0" applyNumberFormat="1" applyFill="1" applyBorder="1" applyAlignment="1" applyProtection="1">
      <alignment horizontal="center"/>
      <protection hidden="1"/>
    </xf>
    <xf numFmtId="173" fontId="2" fillId="8" borderId="21" xfId="0" applyNumberFormat="1" applyFont="1" applyFill="1" applyBorder="1" applyAlignment="1" applyProtection="1">
      <alignment horizontal="center" vertical="center"/>
      <protection hidden="1"/>
    </xf>
    <xf numFmtId="173" fontId="20" fillId="8" borderId="31" xfId="0" applyNumberFormat="1" applyFont="1" applyFill="1" applyBorder="1" applyAlignment="1" applyProtection="1">
      <alignment horizontal="center" vertical="center"/>
      <protection hidden="1"/>
    </xf>
    <xf numFmtId="173" fontId="20" fillId="8" borderId="32" xfId="0" applyNumberFormat="1" applyFont="1" applyFill="1" applyBorder="1" applyAlignment="1" applyProtection="1">
      <alignment horizontal="center" vertical="center"/>
      <protection hidden="1"/>
    </xf>
    <xf numFmtId="0" fontId="0" fillId="8" borderId="36" xfId="0" applyFill="1" applyBorder="1" applyAlignment="1" applyProtection="1">
      <alignment horizontal="center"/>
      <protection hidden="1"/>
    </xf>
    <xf numFmtId="0" fontId="0" fillId="8" borderId="37" xfId="0" applyFill="1" applyBorder="1" applyAlignment="1" applyProtection="1">
      <alignment horizontal="center"/>
      <protection hidden="1"/>
    </xf>
    <xf numFmtId="0" fontId="0" fillId="8" borderId="38" xfId="0" applyFill="1" applyBorder="1" applyAlignment="1" applyProtection="1">
      <alignment horizontal="center"/>
      <protection hidden="1"/>
    </xf>
    <xf numFmtId="0" fontId="0" fillId="8" borderId="39" xfId="0" applyFill="1" applyBorder="1" applyAlignment="1" applyProtection="1">
      <alignment horizontal="center"/>
      <protection hidden="1"/>
    </xf>
    <xf numFmtId="0" fontId="0" fillId="2" borderId="40" xfId="0" applyFill="1" applyBorder="1" applyAlignment="1" applyProtection="1">
      <alignment horizontal="center"/>
      <protection hidden="1"/>
    </xf>
    <xf numFmtId="0" fontId="0" fillId="2" borderId="37" xfId="0" applyFill="1" applyBorder="1" applyAlignment="1" applyProtection="1">
      <alignment horizontal="center"/>
      <protection hidden="1"/>
    </xf>
    <xf numFmtId="175" fontId="0" fillId="2" borderId="38" xfId="0" applyNumberFormat="1" applyFill="1" applyBorder="1" applyAlignment="1" applyProtection="1">
      <alignment horizontal="center"/>
      <protection hidden="1"/>
    </xf>
    <xf numFmtId="175" fontId="0" fillId="2" borderId="36" xfId="0" applyNumberFormat="1" applyFill="1" applyBorder="1" applyAlignment="1" applyProtection="1">
      <alignment horizontal="center"/>
      <protection hidden="1"/>
    </xf>
    <xf numFmtId="173" fontId="0" fillId="9" borderId="21" xfId="0" applyNumberFormat="1" applyFill="1" applyBorder="1" applyAlignment="1" applyProtection="1">
      <alignment horizontal="center" vertical="center"/>
      <protection hidden="1"/>
    </xf>
    <xf numFmtId="173" fontId="20" fillId="9" borderId="31" xfId="0" applyNumberFormat="1" applyFont="1" applyFill="1" applyBorder="1" applyAlignment="1" applyProtection="1">
      <alignment horizontal="center" vertical="center"/>
      <protection hidden="1"/>
    </xf>
    <xf numFmtId="173" fontId="20" fillId="9" borderId="32" xfId="0" applyNumberFormat="1" applyFont="1" applyFill="1" applyBorder="1" applyAlignment="1" applyProtection="1">
      <alignment horizontal="center" vertical="center"/>
      <protection hidden="1"/>
    </xf>
    <xf numFmtId="0" fontId="0" fillId="0" borderId="0" xfId="0" applyBorder="1" applyAlignment="1" applyProtection="1">
      <alignment horizontal="left" vertical="center" wrapText="1"/>
      <protection hidden="1"/>
    </xf>
    <xf numFmtId="178" fontId="10" fillId="9" borderId="9" xfId="0" applyNumberFormat="1" applyFont="1" applyFill="1" applyBorder="1" applyAlignment="1" applyProtection="1">
      <alignment horizontal="center" vertical="center" wrapText="1"/>
      <protection hidden="1"/>
    </xf>
    <xf numFmtId="178" fontId="10" fillId="9" borderId="10" xfId="0" applyNumberFormat="1" applyFont="1" applyFill="1" applyBorder="1" applyAlignment="1" applyProtection="1">
      <alignment horizontal="center" vertical="center" wrapText="1"/>
      <protection hidden="1"/>
    </xf>
    <xf numFmtId="178" fontId="10" fillId="10" borderId="8" xfId="0" applyNumberFormat="1" applyFont="1" applyFill="1" applyBorder="1" applyAlignment="1" applyProtection="1">
      <alignment horizontal="center" vertical="center" wrapText="1"/>
      <protection hidden="1"/>
    </xf>
    <xf numFmtId="178" fontId="10" fillId="10" borderId="9" xfId="0" applyNumberFormat="1" applyFont="1" applyFill="1" applyBorder="1" applyAlignment="1" applyProtection="1">
      <alignment horizontal="center" vertical="center" wrapText="1"/>
      <protection hidden="1"/>
    </xf>
    <xf numFmtId="178" fontId="10" fillId="10" borderId="10" xfId="0" applyNumberFormat="1" applyFont="1" applyFill="1" applyBorder="1" applyAlignment="1" applyProtection="1">
      <alignment horizontal="center" vertical="center" wrapText="1"/>
      <protection hidden="1"/>
    </xf>
    <xf numFmtId="0" fontId="0" fillId="9" borderId="29" xfId="0" applyFill="1" applyBorder="1" applyAlignment="1" applyProtection="1">
      <alignment horizontal="center" vertical="center"/>
      <protection hidden="1"/>
    </xf>
    <xf numFmtId="0" fontId="0" fillId="9" borderId="21" xfId="0" applyFill="1" applyBorder="1" applyAlignment="1" applyProtection="1">
      <alignment horizontal="center" vertical="center"/>
      <protection hidden="1"/>
    </xf>
    <xf numFmtId="0" fontId="0" fillId="10" borderId="27" xfId="0" applyFill="1" applyBorder="1" applyAlignment="1" applyProtection="1">
      <alignment horizontal="center" vertical="center"/>
      <protection hidden="1"/>
    </xf>
    <xf numFmtId="0" fontId="0" fillId="10" borderId="26" xfId="0" applyFill="1" applyBorder="1" applyAlignment="1" applyProtection="1">
      <alignment horizontal="center" vertical="center"/>
      <protection hidden="1"/>
    </xf>
    <xf numFmtId="0" fontId="0" fillId="10" borderId="30" xfId="0" applyFill="1" applyBorder="1" applyAlignment="1" applyProtection="1">
      <alignment horizontal="center" vertical="center"/>
      <protection hidden="1"/>
    </xf>
    <xf numFmtId="0" fontId="0" fillId="9" borderId="40" xfId="0" applyFill="1" applyBorder="1" applyAlignment="1" applyProtection="1">
      <alignment horizontal="center"/>
      <protection hidden="1"/>
    </xf>
    <xf numFmtId="0" fontId="0" fillId="9" borderId="37" xfId="0" applyFill="1" applyBorder="1" applyAlignment="1" applyProtection="1">
      <alignment horizontal="center"/>
      <protection hidden="1"/>
    </xf>
    <xf numFmtId="0" fontId="0" fillId="9" borderId="22" xfId="0" applyFill="1" applyBorder="1" applyAlignment="1" applyProtection="1">
      <alignment horizontal="center" vertical="center"/>
      <protection hidden="1"/>
    </xf>
    <xf numFmtId="175" fontId="0" fillId="9" borderId="38" xfId="0" quotePrefix="1" applyNumberFormat="1" applyFill="1" applyBorder="1" applyAlignment="1" applyProtection="1">
      <alignment horizontal="center"/>
      <protection hidden="1"/>
    </xf>
    <xf numFmtId="175" fontId="0" fillId="9" borderId="37" xfId="0" applyNumberFormat="1" applyFill="1" applyBorder="1" applyAlignment="1" applyProtection="1">
      <alignment horizontal="center"/>
      <protection hidden="1"/>
    </xf>
    <xf numFmtId="176" fontId="22" fillId="9" borderId="38" xfId="0" applyNumberFormat="1" applyFont="1" applyFill="1" applyBorder="1" applyAlignment="1" applyProtection="1">
      <alignment horizontal="center"/>
      <protection hidden="1"/>
    </xf>
    <xf numFmtId="176" fontId="22" fillId="9" borderId="36" xfId="0" applyNumberFormat="1" applyFont="1" applyFill="1" applyBorder="1" applyAlignment="1" applyProtection="1">
      <alignment horizontal="center"/>
      <protection hidden="1"/>
    </xf>
    <xf numFmtId="1" fontId="21" fillId="9" borderId="33" xfId="0" applyNumberFormat="1" applyFont="1" applyFill="1" applyBorder="1" applyAlignment="1" applyProtection="1">
      <alignment horizontal="center" vertical="center"/>
      <protection hidden="1"/>
    </xf>
    <xf numFmtId="1" fontId="21" fillId="9" borderId="35" xfId="0" applyNumberFormat="1" applyFont="1" applyFill="1" applyBorder="1" applyAlignment="1" applyProtection="1">
      <alignment horizontal="center" vertical="center"/>
      <protection hidden="1"/>
    </xf>
    <xf numFmtId="1" fontId="21" fillId="9" borderId="18" xfId="0" applyNumberFormat="1" applyFont="1" applyFill="1" applyBorder="1" applyAlignment="1" applyProtection="1">
      <alignment horizontal="center" vertical="center"/>
      <protection hidden="1"/>
    </xf>
    <xf numFmtId="1" fontId="21" fillId="9" borderId="17" xfId="0" applyNumberFormat="1" applyFont="1" applyFill="1" applyBorder="1" applyAlignment="1" applyProtection="1">
      <alignment horizontal="center" vertical="center"/>
      <protection hidden="1"/>
    </xf>
    <xf numFmtId="1" fontId="21" fillId="9" borderId="23" xfId="0" applyNumberFormat="1" applyFont="1" applyFill="1" applyBorder="1" applyAlignment="1" applyProtection="1">
      <alignment horizontal="center" vertical="center"/>
      <protection hidden="1"/>
    </xf>
    <xf numFmtId="1" fontId="21" fillId="9" borderId="24" xfId="0" applyNumberFormat="1" applyFont="1" applyFill="1" applyBorder="1" applyAlignment="1" applyProtection="1">
      <alignment horizontal="center" vertical="center"/>
      <protection hidden="1"/>
    </xf>
    <xf numFmtId="1" fontId="21" fillId="9" borderId="19" xfId="0" applyNumberFormat="1" applyFont="1" applyFill="1" applyBorder="1" applyAlignment="1" applyProtection="1">
      <alignment horizontal="center" vertical="center"/>
      <protection hidden="1"/>
    </xf>
    <xf numFmtId="1" fontId="21" fillId="9" borderId="27" xfId="0" applyNumberFormat="1" applyFont="1" applyFill="1" applyBorder="1" applyAlignment="1" applyProtection="1">
      <alignment horizontal="center" vertical="center"/>
      <protection hidden="1"/>
    </xf>
    <xf numFmtId="1" fontId="21" fillId="9" borderId="26" xfId="0" applyNumberFormat="1" applyFont="1" applyFill="1" applyBorder="1" applyAlignment="1" applyProtection="1">
      <alignment horizontal="center" vertical="center"/>
      <protection hidden="1"/>
    </xf>
    <xf numFmtId="1" fontId="21" fillId="9" borderId="16" xfId="0" applyNumberFormat="1" applyFont="1" applyFill="1" applyBorder="1" applyAlignment="1" applyProtection="1">
      <alignment horizontal="center" vertical="center"/>
      <protection hidden="1"/>
    </xf>
    <xf numFmtId="1" fontId="21" fillId="9" borderId="20" xfId="0" applyNumberFormat="1" applyFont="1" applyFill="1" applyBorder="1" applyAlignment="1" applyProtection="1">
      <alignment horizontal="center" vertical="center"/>
      <protection hidden="1"/>
    </xf>
    <xf numFmtId="0" fontId="0" fillId="9" borderId="25" xfId="0" applyFill="1" applyBorder="1" applyAlignment="1" applyProtection="1">
      <alignment horizontal="center" vertical="center"/>
      <protection hidden="1"/>
    </xf>
    <xf numFmtId="173" fontId="0" fillId="10" borderId="25" xfId="0" applyNumberFormat="1" applyFill="1" applyBorder="1" applyAlignment="1" applyProtection="1">
      <alignment horizontal="center" vertical="center"/>
      <protection hidden="1"/>
    </xf>
    <xf numFmtId="173" fontId="0" fillId="10" borderId="21" xfId="0" applyNumberFormat="1" applyFill="1" applyBorder="1" applyAlignment="1" applyProtection="1">
      <alignment horizontal="center" vertical="center"/>
      <protection hidden="1"/>
    </xf>
    <xf numFmtId="173" fontId="0" fillId="10" borderId="30" xfId="0" applyNumberFormat="1" applyFill="1" applyBorder="1" applyAlignment="1" applyProtection="1">
      <alignment horizontal="center" vertical="center"/>
      <protection hidden="1"/>
    </xf>
    <xf numFmtId="1" fontId="21" fillId="10" borderId="27" xfId="0" applyNumberFormat="1" applyFont="1" applyFill="1" applyBorder="1" applyAlignment="1" applyProtection="1">
      <alignment horizontal="center" vertical="center"/>
      <protection hidden="1"/>
    </xf>
    <xf numFmtId="1" fontId="21" fillId="10" borderId="26" xfId="0" applyNumberFormat="1" applyFont="1" applyFill="1" applyBorder="1" applyAlignment="1" applyProtection="1">
      <alignment horizontal="center" vertical="center"/>
      <protection hidden="1"/>
    </xf>
    <xf numFmtId="1" fontId="21" fillId="10" borderId="16" xfId="0" applyNumberFormat="1" applyFont="1" applyFill="1" applyBorder="1" applyAlignment="1" applyProtection="1">
      <alignment horizontal="center" vertical="center"/>
      <protection hidden="1"/>
    </xf>
    <xf numFmtId="1" fontId="21" fillId="10" borderId="20" xfId="0" applyNumberFormat="1" applyFont="1" applyFill="1" applyBorder="1" applyAlignment="1" applyProtection="1">
      <alignment horizontal="center" vertical="center"/>
      <protection hidden="1"/>
    </xf>
    <xf numFmtId="0" fontId="0" fillId="8" borderId="18" xfId="0" applyFill="1" applyBorder="1" applyAlignment="1" applyProtection="1">
      <alignment horizontal="center"/>
      <protection hidden="1"/>
    </xf>
    <xf numFmtId="0" fontId="0" fillId="8" borderId="19" xfId="0" applyFill="1" applyBorder="1" applyAlignment="1" applyProtection="1">
      <alignment horizontal="center"/>
      <protection hidden="1"/>
    </xf>
    <xf numFmtId="0" fontId="18" fillId="2" borderId="16" xfId="95" applyFont="1" applyFill="1" applyBorder="1" applyAlignment="1" applyProtection="1">
      <alignment horizontal="center"/>
      <protection hidden="1"/>
    </xf>
    <xf numFmtId="0" fontId="18" fillId="2" borderId="20" xfId="95" applyFont="1" applyFill="1" applyBorder="1" applyAlignment="1" applyProtection="1">
      <alignment horizontal="center"/>
      <protection hidden="1"/>
    </xf>
    <xf numFmtId="0" fontId="0" fillId="8" borderId="16" xfId="0" applyFill="1" applyBorder="1" applyAlignment="1" applyProtection="1">
      <alignment horizontal="center"/>
      <protection hidden="1"/>
    </xf>
    <xf numFmtId="0" fontId="0" fillId="8" borderId="17" xfId="0" applyFill="1" applyBorder="1" applyAlignment="1" applyProtection="1">
      <alignment horizontal="center"/>
      <protection hidden="1"/>
    </xf>
    <xf numFmtId="0" fontId="18" fillId="9" borderId="16" xfId="95" applyFont="1" applyFill="1" applyBorder="1" applyAlignment="1" applyProtection="1">
      <alignment horizontal="center"/>
      <protection hidden="1"/>
    </xf>
    <xf numFmtId="0" fontId="18" fillId="9" borderId="20" xfId="95" applyFont="1" applyFill="1" applyBorder="1" applyAlignment="1" applyProtection="1">
      <alignment horizontal="center"/>
      <protection hidden="1"/>
    </xf>
    <xf numFmtId="9" fontId="0" fillId="8" borderId="21" xfId="0" applyNumberFormat="1" applyFill="1" applyBorder="1" applyAlignment="1" applyProtection="1">
      <alignment horizontal="center"/>
      <protection hidden="1"/>
    </xf>
    <xf numFmtId="9" fontId="0" fillId="8" borderId="22" xfId="0" applyNumberFormat="1" applyFill="1" applyBorder="1" applyAlignment="1" applyProtection="1">
      <alignment horizontal="center"/>
      <protection hidden="1"/>
    </xf>
    <xf numFmtId="9" fontId="0" fillId="8" borderId="23" xfId="0" applyNumberFormat="1" applyFill="1" applyBorder="1" applyAlignment="1" applyProtection="1">
      <alignment horizontal="center"/>
      <protection hidden="1"/>
    </xf>
    <xf numFmtId="9" fontId="0" fillId="8" borderId="24" xfId="0" applyNumberFormat="1" applyFill="1" applyBorder="1" applyAlignment="1" applyProtection="1">
      <alignment horizontal="center"/>
      <protection hidden="1"/>
    </xf>
    <xf numFmtId="9" fontId="0" fillId="2" borderId="25" xfId="0" applyNumberFormat="1" applyFill="1" applyBorder="1" applyAlignment="1" applyProtection="1">
      <alignment horizontal="center"/>
      <protection hidden="1"/>
    </xf>
    <xf numFmtId="9" fontId="0" fillId="2" borderId="22" xfId="0" applyNumberFormat="1" applyFill="1" applyBorder="1" applyAlignment="1" applyProtection="1">
      <alignment horizontal="center"/>
      <protection hidden="1"/>
    </xf>
    <xf numFmtId="9" fontId="0" fillId="2" borderId="23" xfId="0" applyNumberFormat="1" applyFill="1" applyBorder="1" applyAlignment="1" applyProtection="1">
      <alignment horizontal="center"/>
      <protection hidden="1"/>
    </xf>
    <xf numFmtId="9" fontId="0" fillId="2" borderId="26" xfId="0" applyNumberFormat="1" applyFill="1" applyBorder="1" applyAlignment="1" applyProtection="1">
      <alignment horizontal="center"/>
      <protection hidden="1"/>
    </xf>
    <xf numFmtId="9" fontId="0" fillId="9" borderId="27" xfId="0" applyNumberFormat="1" applyFill="1" applyBorder="1" applyAlignment="1" applyProtection="1">
      <alignment horizontal="center"/>
      <protection hidden="1"/>
    </xf>
    <xf numFmtId="9" fontId="0" fillId="9" borderId="28" xfId="0" applyNumberFormat="1" applyFill="1" applyBorder="1" applyAlignment="1" applyProtection="1">
      <alignment horizontal="center"/>
      <protection hidden="1"/>
    </xf>
    <xf numFmtId="9" fontId="0" fillId="9" borderId="23" xfId="0" applyNumberFormat="1" applyFill="1" applyBorder="1" applyAlignment="1" applyProtection="1">
      <alignment horizontal="center"/>
      <protection hidden="1"/>
    </xf>
    <xf numFmtId="9" fontId="0" fillId="9" borderId="29" xfId="0" applyNumberFormat="1" applyFill="1" applyBorder="1" applyAlignment="1" applyProtection="1">
      <alignment horizontal="center"/>
      <protection hidden="1"/>
    </xf>
    <xf numFmtId="9" fontId="0" fillId="9" borderId="21" xfId="0" applyNumberFormat="1" applyFill="1" applyBorder="1" applyAlignment="1" applyProtection="1">
      <alignment horizontal="center"/>
      <protection hidden="1"/>
    </xf>
    <xf numFmtId="173" fontId="0" fillId="2" borderId="21" xfId="0" applyNumberFormat="1" applyFill="1" applyBorder="1" applyAlignment="1" applyProtection="1">
      <alignment horizontal="center" vertical="center"/>
      <protection hidden="1"/>
    </xf>
    <xf numFmtId="173" fontId="20" fillId="2" borderId="31" xfId="0" applyNumberFormat="1" applyFont="1" applyFill="1" applyBorder="1" applyAlignment="1" applyProtection="1">
      <alignment horizontal="center" vertical="center"/>
      <protection hidden="1"/>
    </xf>
    <xf numFmtId="173" fontId="20" fillId="2" borderId="32" xfId="0" applyNumberFormat="1" applyFont="1" applyFill="1" applyBorder="1" applyAlignment="1" applyProtection="1">
      <alignment horizontal="center" vertical="center"/>
      <protection hidden="1"/>
    </xf>
    <xf numFmtId="0" fontId="19" fillId="10" borderId="2" xfId="0" applyFont="1" applyFill="1" applyBorder="1" applyAlignment="1" applyProtection="1">
      <alignment horizontal="center" vertical="top"/>
      <protection hidden="1"/>
    </xf>
    <xf numFmtId="0" fontId="19" fillId="10" borderId="12" xfId="0" applyFont="1" applyFill="1" applyBorder="1" applyAlignment="1" applyProtection="1">
      <alignment horizontal="center" vertical="top"/>
      <protection hidden="1"/>
    </xf>
    <xf numFmtId="0" fontId="19" fillId="10" borderId="3" xfId="0" applyFont="1" applyFill="1" applyBorder="1" applyAlignment="1" applyProtection="1">
      <alignment horizontal="center" vertical="top"/>
      <protection hidden="1"/>
    </xf>
    <xf numFmtId="0" fontId="19" fillId="10" borderId="4" xfId="0" applyFont="1" applyFill="1" applyBorder="1" applyAlignment="1" applyProtection="1">
      <alignment horizontal="center" vertical="top"/>
      <protection hidden="1"/>
    </xf>
    <xf numFmtId="0" fontId="19" fillId="10" borderId="0" xfId="0" applyFont="1" applyFill="1" applyBorder="1" applyAlignment="1" applyProtection="1">
      <alignment horizontal="center" vertical="top"/>
      <protection hidden="1"/>
    </xf>
    <xf numFmtId="0" fontId="19" fillId="10" borderId="5" xfId="0" applyFont="1" applyFill="1" applyBorder="1" applyAlignment="1" applyProtection="1">
      <alignment horizontal="center" vertical="top"/>
      <protection hidden="1"/>
    </xf>
    <xf numFmtId="0" fontId="19" fillId="8" borderId="13" xfId="0" applyFont="1" applyFill="1" applyBorder="1" applyAlignment="1" applyProtection="1">
      <alignment horizontal="center" vertical="top"/>
      <protection hidden="1"/>
    </xf>
    <xf numFmtId="0" fontId="19" fillId="8" borderId="14" xfId="0" applyFont="1" applyFill="1" applyBorder="1" applyAlignment="1" applyProtection="1">
      <alignment horizontal="center" vertical="top"/>
      <protection hidden="1"/>
    </xf>
    <xf numFmtId="0" fontId="19" fillId="8" borderId="15" xfId="0" applyFont="1" applyFill="1" applyBorder="1" applyAlignment="1" applyProtection="1">
      <alignment horizontal="center" vertical="top"/>
      <protection hidden="1"/>
    </xf>
    <xf numFmtId="0" fontId="19" fillId="2" borderId="12" xfId="0" applyFont="1" applyFill="1" applyBorder="1" applyAlignment="1" applyProtection="1">
      <alignment horizontal="center" vertical="top"/>
      <protection hidden="1"/>
    </xf>
    <xf numFmtId="0" fontId="19" fillId="2" borderId="3" xfId="0" applyFont="1" applyFill="1" applyBorder="1" applyAlignment="1" applyProtection="1">
      <alignment horizontal="center" vertical="top"/>
      <protection hidden="1"/>
    </xf>
    <xf numFmtId="0" fontId="19" fillId="2" borderId="20" xfId="0" applyFont="1" applyFill="1" applyBorder="1" applyAlignment="1" applyProtection="1">
      <alignment horizontal="center" vertical="top"/>
      <protection hidden="1"/>
    </xf>
    <xf numFmtId="0" fontId="19" fillId="2" borderId="19" xfId="0" applyFont="1" applyFill="1" applyBorder="1" applyAlignment="1" applyProtection="1">
      <alignment horizontal="center" vertical="top"/>
      <protection hidden="1"/>
    </xf>
    <xf numFmtId="0" fontId="19" fillId="9" borderId="2" xfId="0" applyFont="1" applyFill="1" applyBorder="1" applyAlignment="1" applyProtection="1">
      <alignment horizontal="center" vertical="top"/>
      <protection hidden="1"/>
    </xf>
    <xf numFmtId="0" fontId="19" fillId="9" borderId="12" xfId="0" applyFont="1" applyFill="1" applyBorder="1" applyAlignment="1" applyProtection="1">
      <alignment horizontal="center" vertical="top"/>
      <protection hidden="1"/>
    </xf>
    <xf numFmtId="0" fontId="19" fillId="9" borderId="3" xfId="0" applyFont="1" applyFill="1" applyBorder="1" applyAlignment="1" applyProtection="1">
      <alignment horizontal="center" vertical="top"/>
      <protection hidden="1"/>
    </xf>
    <xf numFmtId="0" fontId="19" fillId="9" borderId="16" xfId="0" applyFont="1" applyFill="1" applyBorder="1" applyAlignment="1" applyProtection="1">
      <alignment horizontal="center" vertical="top"/>
      <protection hidden="1"/>
    </xf>
    <xf numFmtId="0" fontId="19" fillId="9" borderId="20" xfId="0" applyFont="1" applyFill="1" applyBorder="1" applyAlignment="1" applyProtection="1">
      <alignment horizontal="center" vertical="top"/>
      <protection hidden="1"/>
    </xf>
    <xf numFmtId="0" fontId="19" fillId="9" borderId="19" xfId="0" applyFont="1" applyFill="1" applyBorder="1" applyAlignment="1" applyProtection="1">
      <alignment horizontal="center" vertical="top"/>
      <protection hidden="1"/>
    </xf>
    <xf numFmtId="0" fontId="10" fillId="0" borderId="0" xfId="0" applyFont="1" applyAlignment="1" applyProtection="1">
      <alignment horizontal="right"/>
      <protection hidden="1"/>
    </xf>
    <xf numFmtId="0" fontId="10" fillId="0" borderId="5" xfId="0" applyFont="1" applyBorder="1" applyAlignment="1" applyProtection="1">
      <alignment horizontal="right"/>
      <protection hidden="1"/>
    </xf>
    <xf numFmtId="0" fontId="10" fillId="0" borderId="0" xfId="0" applyFont="1" applyAlignment="1" applyProtection="1">
      <alignment horizontal="center"/>
      <protection hidden="1"/>
    </xf>
    <xf numFmtId="169" fontId="10" fillId="7" borderId="8" xfId="0" applyNumberFormat="1" applyFont="1" applyFill="1" applyBorder="1" applyAlignment="1" applyProtection="1">
      <alignment horizontal="center" shrinkToFit="1"/>
      <protection hidden="1"/>
    </xf>
    <xf numFmtId="169" fontId="10" fillId="7" borderId="9" xfId="0" applyNumberFormat="1" applyFont="1" applyFill="1" applyBorder="1" applyAlignment="1" applyProtection="1">
      <alignment horizontal="center" shrinkToFit="1"/>
      <protection hidden="1"/>
    </xf>
    <xf numFmtId="169" fontId="10" fillId="7" borderId="10" xfId="0" applyNumberFormat="1" applyFont="1" applyFill="1" applyBorder="1" applyAlignment="1" applyProtection="1">
      <alignment horizontal="center" shrinkToFit="1"/>
      <protection hidden="1"/>
    </xf>
    <xf numFmtId="0" fontId="12" fillId="2" borderId="8" xfId="0" applyFont="1" applyFill="1" applyBorder="1" applyAlignment="1" applyProtection="1">
      <alignment horizontal="center" vertical="center" shrinkToFit="1"/>
      <protection hidden="1"/>
    </xf>
    <xf numFmtId="0" fontId="12" fillId="2" borderId="9" xfId="0" applyFont="1" applyFill="1" applyBorder="1" applyAlignment="1" applyProtection="1">
      <alignment horizontal="center" vertical="center" shrinkToFit="1"/>
      <protection hidden="1"/>
    </xf>
    <xf numFmtId="0" fontId="12" fillId="2" borderId="10" xfId="0" applyFont="1" applyFill="1" applyBorder="1" applyAlignment="1" applyProtection="1">
      <alignment horizontal="center" vertical="center" shrinkToFit="1"/>
      <protection hidden="1"/>
    </xf>
    <xf numFmtId="14" fontId="2" fillId="5" borderId="8" xfId="0" applyNumberFormat="1" applyFont="1" applyFill="1" applyBorder="1" applyAlignment="1" applyProtection="1">
      <alignment horizontal="center"/>
      <protection locked="0"/>
    </xf>
    <xf numFmtId="14" fontId="2" fillId="5" borderId="10" xfId="0" applyNumberFormat="1" applyFont="1" applyFill="1" applyBorder="1" applyAlignment="1" applyProtection="1">
      <alignment horizontal="center"/>
      <protection locked="0"/>
    </xf>
    <xf numFmtId="0" fontId="0" fillId="0" borderId="0" xfId="0" applyAlignment="1" applyProtection="1">
      <alignment horizontal="left" vertical="center" wrapText="1"/>
      <protection hidden="1"/>
    </xf>
    <xf numFmtId="0" fontId="14" fillId="0" borderId="0" xfId="0" applyFont="1" applyAlignment="1" applyProtection="1">
      <alignment horizontal="center"/>
      <protection hidden="1"/>
    </xf>
    <xf numFmtId="0" fontId="16" fillId="6" borderId="2" xfId="95" applyFont="1" applyFill="1" applyBorder="1" applyAlignment="1" applyProtection="1">
      <alignment horizontal="center" vertical="center"/>
      <protection hidden="1"/>
    </xf>
    <xf numFmtId="0" fontId="16" fillId="6" borderId="12" xfId="95" applyFont="1" applyFill="1" applyBorder="1" applyAlignment="1" applyProtection="1">
      <alignment horizontal="center" vertical="center"/>
      <protection hidden="1"/>
    </xf>
    <xf numFmtId="0" fontId="16" fillId="6" borderId="3" xfId="95" applyFont="1" applyFill="1" applyBorder="1" applyAlignment="1" applyProtection="1">
      <alignment horizontal="center" vertical="center"/>
      <protection hidden="1"/>
    </xf>
    <xf numFmtId="0" fontId="16" fillId="6" borderId="4" xfId="95" applyFont="1" applyFill="1" applyBorder="1" applyAlignment="1" applyProtection="1">
      <alignment horizontal="center" vertical="center"/>
      <protection hidden="1"/>
    </xf>
    <xf numFmtId="0" fontId="16" fillId="6" borderId="0" xfId="95" applyFont="1" applyFill="1" applyBorder="1" applyAlignment="1" applyProtection="1">
      <alignment horizontal="center" vertical="center"/>
      <protection hidden="1"/>
    </xf>
    <xf numFmtId="0" fontId="16" fillId="6" borderId="5" xfId="95" applyFont="1" applyFill="1" applyBorder="1" applyAlignment="1" applyProtection="1">
      <alignment horizontal="center" vertical="center"/>
      <protection hidden="1"/>
    </xf>
    <xf numFmtId="0" fontId="16" fillId="6" borderId="6" xfId="95" applyFont="1" applyFill="1" applyBorder="1" applyAlignment="1" applyProtection="1">
      <alignment horizontal="center" vertical="center"/>
      <protection hidden="1"/>
    </xf>
    <xf numFmtId="0" fontId="16" fillId="6" borderId="11" xfId="95" applyFont="1" applyFill="1" applyBorder="1" applyAlignment="1" applyProtection="1">
      <alignment horizontal="center" vertical="center"/>
      <protection hidden="1"/>
    </xf>
    <xf numFmtId="0" fontId="16" fillId="6" borderId="7" xfId="95" applyFont="1" applyFill="1" applyBorder="1" applyAlignment="1" applyProtection="1">
      <alignment horizontal="center" vertical="center"/>
      <protection hidden="1"/>
    </xf>
    <xf numFmtId="0" fontId="0" fillId="0" borderId="0" xfId="0" applyAlignment="1" applyProtection="1">
      <alignment horizontal="right"/>
      <protection hidden="1"/>
    </xf>
    <xf numFmtId="0" fontId="0" fillId="0" borderId="5" xfId="0" applyBorder="1" applyAlignment="1" applyProtection="1">
      <alignment horizontal="right"/>
      <protection hidden="1"/>
    </xf>
    <xf numFmtId="1" fontId="10" fillId="7" borderId="8" xfId="0" applyNumberFormat="1" applyFont="1" applyFill="1" applyBorder="1" applyAlignment="1" applyProtection="1">
      <alignment horizontal="center"/>
      <protection hidden="1"/>
    </xf>
    <xf numFmtId="1" fontId="10" fillId="7" borderId="9" xfId="0" applyNumberFormat="1" applyFont="1" applyFill="1" applyBorder="1" applyAlignment="1" applyProtection="1">
      <alignment horizontal="center"/>
      <protection hidden="1"/>
    </xf>
    <xf numFmtId="1" fontId="10" fillId="7" borderId="10" xfId="0" applyNumberFormat="1" applyFont="1" applyFill="1" applyBorder="1" applyAlignment="1" applyProtection="1">
      <alignment horizontal="center"/>
      <protection hidden="1"/>
    </xf>
    <xf numFmtId="0" fontId="17" fillId="0" borderId="0" xfId="0" applyFont="1" applyAlignment="1" applyProtection="1">
      <alignment horizontal="left" vertical="top" wrapText="1"/>
      <protection hidden="1"/>
    </xf>
    <xf numFmtId="0" fontId="2" fillId="0" borderId="0" xfId="0" applyFont="1" applyAlignment="1" applyProtection="1">
      <alignment horizontal="left"/>
      <protection hidden="1"/>
    </xf>
    <xf numFmtId="0" fontId="0" fillId="0" borderId="0" xfId="0" applyAlignment="1" applyProtection="1">
      <alignment horizontal="center"/>
      <protection hidden="1"/>
    </xf>
    <xf numFmtId="0" fontId="0" fillId="0" borderId="5" xfId="0" applyBorder="1" applyAlignment="1" applyProtection="1">
      <alignment horizontal="center"/>
      <protection hidden="1"/>
    </xf>
    <xf numFmtId="170" fontId="0" fillId="5" borderId="8" xfId="0" applyNumberFormat="1" applyFill="1" applyBorder="1" applyAlignment="1" applyProtection="1">
      <alignment horizontal="center"/>
      <protection locked="0"/>
    </xf>
    <xf numFmtId="170" fontId="0" fillId="5" borderId="10" xfId="0" applyNumberFormat="1" applyFill="1" applyBorder="1" applyAlignment="1" applyProtection="1">
      <alignment horizontal="center"/>
      <protection locked="0"/>
    </xf>
    <xf numFmtId="0" fontId="0" fillId="0" borderId="4" xfId="0" applyBorder="1" applyAlignment="1" applyProtection="1">
      <alignment horizontal="left"/>
      <protection hidden="1"/>
    </xf>
    <xf numFmtId="0" fontId="0" fillId="0" borderId="0" xfId="0" applyBorder="1" applyAlignment="1" applyProtection="1">
      <alignment horizontal="left"/>
      <protection hidden="1"/>
    </xf>
    <xf numFmtId="0" fontId="0" fillId="0" borderId="25" xfId="0" applyBorder="1" applyAlignment="1" applyProtection="1">
      <alignment horizontal="center" vertical="center"/>
      <protection hidden="1"/>
    </xf>
    <xf numFmtId="0" fontId="0" fillId="0" borderId="30" xfId="0" applyBorder="1" applyAlignment="1" applyProtection="1">
      <alignment horizontal="center" vertical="center"/>
      <protection hidden="1"/>
    </xf>
    <xf numFmtId="0" fontId="0" fillId="0" borderId="13" xfId="0" applyBorder="1" applyAlignment="1" applyProtection="1">
      <alignment horizontal="center"/>
      <protection hidden="1"/>
    </xf>
    <xf numFmtId="0" fontId="0" fillId="0" borderId="15" xfId="0" applyBorder="1" applyAlignment="1" applyProtection="1">
      <alignment horizontal="center"/>
      <protection hidden="1"/>
    </xf>
    <xf numFmtId="0" fontId="0" fillId="0" borderId="27" xfId="0" applyBorder="1" applyAlignment="1" applyProtection="1">
      <alignment horizontal="center" vertical="center" wrapText="1"/>
      <protection hidden="1"/>
    </xf>
    <xf numFmtId="0" fontId="0" fillId="0" borderId="24" xfId="0" applyBorder="1" applyAlignment="1" applyProtection="1">
      <alignment horizontal="center" vertical="center" wrapText="1"/>
      <protection hidden="1"/>
    </xf>
    <xf numFmtId="0" fontId="0" fillId="0" borderId="16" xfId="0" applyBorder="1" applyAlignment="1" applyProtection="1">
      <alignment horizontal="center" vertical="center" wrapText="1"/>
      <protection hidden="1"/>
    </xf>
    <xf numFmtId="0" fontId="0" fillId="0" borderId="19" xfId="0" applyBorder="1" applyAlignment="1" applyProtection="1">
      <alignment horizontal="center" vertical="center" wrapText="1"/>
      <protection hidden="1"/>
    </xf>
    <xf numFmtId="0" fontId="0" fillId="0" borderId="25" xfId="0" applyBorder="1" applyAlignment="1" applyProtection="1">
      <alignment horizontal="center" wrapText="1"/>
      <protection hidden="1"/>
    </xf>
    <xf numFmtId="0" fontId="0" fillId="0" borderId="30" xfId="0" applyBorder="1" applyAlignment="1" applyProtection="1">
      <alignment horizontal="center" wrapText="1"/>
      <protection hidden="1"/>
    </xf>
    <xf numFmtId="0" fontId="0" fillId="0" borderId="27" xfId="0" applyBorder="1" applyAlignment="1" applyProtection="1">
      <alignment horizontal="center"/>
      <protection hidden="1"/>
    </xf>
    <xf numFmtId="0" fontId="0" fillId="0" borderId="24" xfId="0" applyBorder="1" applyAlignment="1" applyProtection="1">
      <alignment horizontal="center"/>
      <protection hidden="1"/>
    </xf>
    <xf numFmtId="0" fontId="0" fillId="0" borderId="25" xfId="0" quotePrefix="1" applyBorder="1" applyAlignment="1" applyProtection="1">
      <alignment horizontal="center" wrapText="1"/>
      <protection hidden="1"/>
    </xf>
    <xf numFmtId="0" fontId="0" fillId="0" borderId="30" xfId="0" applyBorder="1" applyAlignment="1" applyProtection="1">
      <alignment wrapText="1"/>
      <protection hidden="1"/>
    </xf>
    <xf numFmtId="0" fontId="22" fillId="0" borderId="6" xfId="0" applyFont="1" applyFill="1" applyBorder="1" applyAlignment="1" applyProtection="1">
      <alignment horizontal="center" vertical="center"/>
      <protection hidden="1"/>
    </xf>
    <xf numFmtId="0" fontId="22" fillId="0" borderId="7" xfId="0" applyFont="1" applyFill="1" applyBorder="1" applyAlignment="1" applyProtection="1">
      <alignment horizontal="center" vertical="center"/>
      <protection hidden="1"/>
    </xf>
    <xf numFmtId="0" fontId="10" fillId="11" borderId="8" xfId="0" applyFont="1" applyFill="1" applyBorder="1" applyAlignment="1" applyProtection="1">
      <alignment horizontal="center" vertical="center"/>
      <protection hidden="1"/>
    </xf>
    <xf numFmtId="0" fontId="10" fillId="11" borderId="9" xfId="0" applyFont="1" applyFill="1" applyBorder="1" applyAlignment="1" applyProtection="1">
      <alignment horizontal="center" vertical="center"/>
      <protection hidden="1"/>
    </xf>
    <xf numFmtId="0" fontId="10" fillId="11" borderId="10" xfId="0" applyFont="1" applyFill="1" applyBorder="1" applyAlignment="1" applyProtection="1">
      <alignment horizontal="center" vertical="center"/>
      <protection hidden="1"/>
    </xf>
    <xf numFmtId="0" fontId="23" fillId="11" borderId="2" xfId="0" applyFont="1" applyFill="1" applyBorder="1" applyAlignment="1" applyProtection="1">
      <alignment horizontal="center" vertical="center"/>
      <protection hidden="1"/>
    </xf>
    <xf numFmtId="0" fontId="22" fillId="11" borderId="3" xfId="0" applyFont="1" applyFill="1" applyBorder="1" applyAlignment="1" applyProtection="1">
      <alignment horizontal="center" vertical="center"/>
      <protection hidden="1"/>
    </xf>
    <xf numFmtId="0" fontId="0" fillId="0" borderId="25" xfId="0" applyBorder="1" applyAlignment="1" applyProtection="1">
      <alignment horizontal="center"/>
      <protection hidden="1"/>
    </xf>
    <xf numFmtId="0" fontId="0" fillId="0" borderId="30" xfId="0" applyBorder="1" applyAlignment="1" applyProtection="1">
      <alignment horizontal="center"/>
      <protection hidden="1"/>
    </xf>
    <xf numFmtId="0" fontId="15" fillId="0" borderId="0" xfId="95" applyAlignment="1" applyProtection="1">
      <alignment horizontal="left" vertical="center" wrapText="1"/>
      <protection hidden="1"/>
    </xf>
    <xf numFmtId="0" fontId="0" fillId="0" borderId="0" xfId="0" applyAlignment="1" applyProtection="1">
      <alignment horizontal="left" wrapText="1"/>
      <protection hidden="1"/>
    </xf>
    <xf numFmtId="170" fontId="0" fillId="5" borderId="8" xfId="0" quotePrefix="1" applyNumberFormat="1" applyFill="1" applyBorder="1" applyAlignment="1" applyProtection="1">
      <alignment horizontal="center"/>
      <protection locked="0"/>
    </xf>
    <xf numFmtId="170" fontId="0" fillId="5" borderId="9" xfId="0" applyNumberFormat="1" applyFill="1" applyBorder="1" applyAlignment="1" applyProtection="1">
      <alignment horizontal="center"/>
      <protection locked="0"/>
    </xf>
    <xf numFmtId="0" fontId="0" fillId="0" borderId="40" xfId="0" applyBorder="1" applyAlignment="1" applyProtection="1">
      <alignment horizontal="center"/>
      <protection hidden="1"/>
    </xf>
    <xf numFmtId="0" fontId="0" fillId="0" borderId="39" xfId="0" applyBorder="1" applyAlignment="1" applyProtection="1">
      <alignment horizontal="center"/>
      <protection hidden="1"/>
    </xf>
    <xf numFmtId="0" fontId="22" fillId="0" borderId="27" xfId="0" applyFont="1" applyBorder="1" applyAlignment="1" applyProtection="1">
      <alignment horizontal="center"/>
      <protection hidden="1"/>
    </xf>
    <xf numFmtId="0" fontId="22" fillId="0" borderId="24" xfId="0" applyFont="1" applyBorder="1" applyAlignment="1" applyProtection="1">
      <alignment horizontal="center"/>
      <protection hidden="1"/>
    </xf>
    <xf numFmtId="0" fontId="15" fillId="0" borderId="0" xfId="95" applyAlignment="1" applyProtection="1">
      <alignment horizontal="center" vertical="center"/>
      <protection hidden="1"/>
    </xf>
    <xf numFmtId="0" fontId="18" fillId="0" borderId="0" xfId="95" applyFont="1" applyAlignment="1" applyProtection="1">
      <alignment horizontal="left"/>
      <protection hidden="1"/>
    </xf>
    <xf numFmtId="0" fontId="18" fillId="0" borderId="5" xfId="95" applyFont="1" applyBorder="1" applyAlignment="1" applyProtection="1">
      <alignment horizontal="left"/>
      <protection hidden="1"/>
    </xf>
    <xf numFmtId="182" fontId="0" fillId="17" borderId="8" xfId="0" applyNumberFormat="1" applyFill="1" applyBorder="1" applyAlignment="1" applyProtection="1">
      <alignment horizontal="center"/>
      <protection hidden="1"/>
    </xf>
    <xf numFmtId="182" fontId="0" fillId="17" borderId="10" xfId="0" applyNumberFormat="1" applyFill="1" applyBorder="1" applyAlignment="1" applyProtection="1">
      <alignment horizontal="center"/>
      <protection hidden="1"/>
    </xf>
    <xf numFmtId="0" fontId="2" fillId="0" borderId="5" xfId="0" applyFont="1" applyBorder="1" applyAlignment="1" applyProtection="1">
      <alignment horizontal="left"/>
      <protection hidden="1"/>
    </xf>
    <xf numFmtId="0" fontId="0" fillId="0" borderId="0" xfId="0" applyAlignment="1">
      <alignment wrapText="1"/>
    </xf>
    <xf numFmtId="0" fontId="0" fillId="0" borderId="0" xfId="0" quotePrefix="1" applyAlignment="1" applyProtection="1">
      <alignment horizontal="right"/>
      <protection hidden="1"/>
    </xf>
    <xf numFmtId="185" fontId="0" fillId="18" borderId="9" xfId="0" applyNumberFormat="1" applyFill="1" applyBorder="1" applyAlignment="1" applyProtection="1">
      <alignment horizontal="left"/>
      <protection hidden="1"/>
    </xf>
    <xf numFmtId="185" fontId="0" fillId="18" borderId="10" xfId="0" applyNumberFormat="1" applyFill="1" applyBorder="1" applyAlignment="1" applyProtection="1">
      <alignment horizontal="left"/>
      <protection hidden="1"/>
    </xf>
    <xf numFmtId="0" fontId="0" fillId="0" borderId="0" xfId="0" quotePrefix="1" applyAlignment="1" applyProtection="1">
      <alignment horizontal="center" vertical="center"/>
      <protection hidden="1"/>
    </xf>
    <xf numFmtId="0" fontId="0" fillId="0" borderId="0" xfId="0" applyAlignment="1" applyProtection="1">
      <alignment horizontal="center" vertical="center"/>
      <protection hidden="1"/>
    </xf>
    <xf numFmtId="0" fontId="0" fillId="0" borderId="5" xfId="0" applyBorder="1" applyAlignment="1" applyProtection="1">
      <alignment horizontal="center" vertical="center"/>
      <protection hidden="1"/>
    </xf>
    <xf numFmtId="1" fontId="32" fillId="17" borderId="49" xfId="95" applyNumberFormat="1" applyFont="1" applyFill="1" applyBorder="1" applyAlignment="1" applyProtection="1">
      <alignment horizontal="left" vertical="center" shrinkToFit="1"/>
      <protection hidden="1"/>
    </xf>
    <xf numFmtId="1" fontId="32" fillId="17" borderId="50" xfId="95" applyNumberFormat="1" applyFont="1" applyFill="1" applyBorder="1" applyAlignment="1" applyProtection="1">
      <alignment horizontal="left" vertical="center" shrinkToFit="1"/>
      <protection hidden="1"/>
    </xf>
    <xf numFmtId="1" fontId="0" fillId="0" borderId="4" xfId="0" quotePrefix="1" applyNumberFormat="1" applyBorder="1" applyAlignment="1" applyProtection="1">
      <alignment horizontal="left" vertical="center"/>
      <protection hidden="1"/>
    </xf>
    <xf numFmtId="1" fontId="0" fillId="0" borderId="0" xfId="0" applyNumberFormat="1" applyBorder="1" applyAlignment="1" applyProtection="1">
      <alignment horizontal="left" vertical="center"/>
      <protection hidden="1"/>
    </xf>
    <xf numFmtId="1" fontId="0" fillId="0" borderId="4" xfId="0" applyNumberFormat="1" applyBorder="1" applyAlignment="1" applyProtection="1">
      <alignment horizontal="left" vertical="center"/>
      <protection hidden="1"/>
    </xf>
    <xf numFmtId="0" fontId="10" fillId="6" borderId="0" xfId="0" applyFont="1" applyFill="1" applyAlignment="1" applyProtection="1">
      <alignment horizontal="center"/>
      <protection hidden="1"/>
    </xf>
    <xf numFmtId="0" fontId="10" fillId="6" borderId="5" xfId="0" applyFont="1" applyFill="1" applyBorder="1" applyAlignment="1" applyProtection="1">
      <alignment horizontal="center"/>
      <protection hidden="1"/>
    </xf>
    <xf numFmtId="0" fontId="10" fillId="0" borderId="0" xfId="0" quotePrefix="1" applyFont="1" applyAlignment="1" applyProtection="1">
      <alignment horizontal="right" vertical="center"/>
      <protection hidden="1"/>
    </xf>
    <xf numFmtId="0" fontId="10" fillId="0" borderId="0" xfId="0" applyFont="1" applyAlignment="1" applyProtection="1">
      <alignment horizontal="right" vertical="center"/>
      <protection hidden="1"/>
    </xf>
    <xf numFmtId="186" fontId="0" fillId="8" borderId="8" xfId="0" applyNumberFormat="1" applyFill="1" applyBorder="1" applyAlignment="1" applyProtection="1">
      <alignment horizontal="center"/>
      <protection hidden="1"/>
    </xf>
    <xf numFmtId="186" fontId="0" fillId="8" borderId="9" xfId="0" applyNumberFormat="1" applyFill="1" applyBorder="1" applyAlignment="1" applyProtection="1">
      <alignment horizontal="center"/>
      <protection hidden="1"/>
    </xf>
    <xf numFmtId="186" fontId="0" fillId="8" borderId="10" xfId="0" applyNumberFormat="1" applyFill="1" applyBorder="1" applyAlignment="1" applyProtection="1">
      <alignment horizontal="center"/>
      <protection hidden="1"/>
    </xf>
    <xf numFmtId="0" fontId="0" fillId="0" borderId="0" xfId="0" applyAlignment="1" applyProtection="1">
      <alignment horizontal="center" vertical="justify"/>
      <protection hidden="1"/>
    </xf>
    <xf numFmtId="184" fontId="0" fillId="0" borderId="0" xfId="0" applyNumberFormat="1" applyFill="1" applyBorder="1" applyAlignment="1" applyProtection="1">
      <alignment horizontal="center"/>
      <protection hidden="1"/>
    </xf>
    <xf numFmtId="185" fontId="0" fillId="18" borderId="9" xfId="0" applyNumberFormat="1" applyFill="1" applyBorder="1" applyAlignment="1" applyProtection="1">
      <alignment horizontal="left" indent="1"/>
      <protection hidden="1"/>
    </xf>
    <xf numFmtId="185" fontId="0" fillId="18" borderId="10" xfId="0" applyNumberFormat="1" applyFill="1" applyBorder="1" applyAlignment="1" applyProtection="1">
      <alignment horizontal="left" indent="1"/>
      <protection hidden="1"/>
    </xf>
    <xf numFmtId="185" fontId="14" fillId="18" borderId="9" xfId="0" applyNumberFormat="1" applyFont="1" applyFill="1" applyBorder="1" applyAlignment="1" applyProtection="1">
      <alignment horizontal="left"/>
      <protection hidden="1"/>
    </xf>
    <xf numFmtId="185" fontId="14" fillId="18" borderId="10" xfId="0" applyNumberFormat="1" applyFont="1" applyFill="1" applyBorder="1" applyAlignment="1" applyProtection="1">
      <alignment horizontal="left"/>
      <protection hidden="1"/>
    </xf>
    <xf numFmtId="0" fontId="33" fillId="13" borderId="49" xfId="95" applyFont="1" applyFill="1" applyBorder="1" applyAlignment="1" applyProtection="1">
      <alignment horizontal="center" vertical="center" shrinkToFit="1"/>
      <protection hidden="1"/>
    </xf>
    <xf numFmtId="0" fontId="33" fillId="13" borderId="50" xfId="95" applyFont="1" applyFill="1" applyBorder="1" applyAlignment="1" applyProtection="1">
      <alignment horizontal="center" vertical="center" shrinkToFit="1"/>
      <protection hidden="1"/>
    </xf>
    <xf numFmtId="0" fontId="3" fillId="0" borderId="1" xfId="0" applyFont="1" applyBorder="1" applyAlignment="1">
      <alignment horizontal="left" indent="2"/>
    </xf>
    <xf numFmtId="173" fontId="47" fillId="8" borderId="26" xfId="0" applyNumberFormat="1" applyFont="1" applyFill="1" applyBorder="1" applyAlignment="1" applyProtection="1">
      <alignment horizontal="center" vertical="center"/>
      <protection hidden="1"/>
    </xf>
    <xf numFmtId="173" fontId="21" fillId="8" borderId="58" xfId="0" applyNumberFormat="1" applyFont="1" applyFill="1" applyBorder="1" applyAlignment="1" applyProtection="1">
      <alignment horizontal="center" vertical="center"/>
      <protection hidden="1"/>
    </xf>
    <xf numFmtId="173" fontId="21" fillId="8" borderId="0" xfId="0" applyNumberFormat="1" applyFont="1" applyFill="1" applyBorder="1" applyAlignment="1" applyProtection="1">
      <alignment horizontal="center" vertical="center"/>
      <protection hidden="1"/>
    </xf>
    <xf numFmtId="173" fontId="47" fillId="2" borderId="26" xfId="0" applyNumberFormat="1" applyFont="1" applyFill="1" applyBorder="1" applyAlignment="1" applyProtection="1">
      <alignment horizontal="center" vertical="center"/>
      <protection hidden="1"/>
    </xf>
    <xf numFmtId="173" fontId="21" fillId="2" borderId="58" xfId="0" applyNumberFormat="1" applyFont="1" applyFill="1" applyBorder="1" applyAlignment="1" applyProtection="1">
      <alignment horizontal="center" vertical="center"/>
      <protection hidden="1"/>
    </xf>
    <xf numFmtId="173" fontId="47" fillId="9" borderId="26" xfId="0" applyNumberFormat="1" applyFont="1" applyFill="1" applyBorder="1" applyAlignment="1" applyProtection="1">
      <alignment horizontal="center" vertical="center"/>
      <protection hidden="1"/>
    </xf>
    <xf numFmtId="173" fontId="48" fillId="4" borderId="58" xfId="0" applyNumberFormat="1" applyFont="1" applyFill="1" applyBorder="1" applyAlignment="1" applyProtection="1">
      <alignment horizontal="center" vertical="center"/>
      <protection hidden="1"/>
    </xf>
    <xf numFmtId="173" fontId="47" fillId="9" borderId="0" xfId="0" applyNumberFormat="1" applyFont="1" applyFill="1" applyBorder="1" applyAlignment="1" applyProtection="1">
      <alignment horizontal="center" vertical="center"/>
      <protection hidden="1"/>
    </xf>
    <xf numFmtId="173" fontId="47" fillId="10" borderId="27" xfId="0" applyNumberFormat="1" applyFont="1" applyFill="1" applyBorder="1" applyAlignment="1" applyProtection="1">
      <alignment horizontal="center" vertical="center"/>
      <protection hidden="1"/>
    </xf>
  </cellXfs>
  <cellStyles count="380">
    <cellStyle name="Commentaire" xfId="96"/>
    <cellStyle name="Euro" xfId="97"/>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Lien hypertexte visité" xfId="108" builtinId="9" hidden="1"/>
    <cellStyle name="Lien hypertexte visité" xfId="109" builtinId="9" hidden="1"/>
    <cellStyle name="Lien hypertexte visité" xfId="110" builtinId="9" hidden="1"/>
    <cellStyle name="Lien hypertexte visité" xfId="111" builtinId="9" hidden="1"/>
    <cellStyle name="Lien hypertexte visité" xfId="112" builtinId="9" hidden="1"/>
    <cellStyle name="Lien hypertexte visité" xfId="113" builtinId="9" hidden="1"/>
    <cellStyle name="Lien hypertexte visité" xfId="114" builtinId="9" hidden="1"/>
    <cellStyle name="Lien hypertexte visité" xfId="115" builtinId="9" hidden="1"/>
    <cellStyle name="Lien hypertexte visité" xfId="116" builtinId="9" hidden="1"/>
    <cellStyle name="Lien hypertexte visité" xfId="117" builtinId="9" hidden="1"/>
    <cellStyle name="Lien hypertexte visité" xfId="118" builtinId="9" hidden="1"/>
    <cellStyle name="Lien hypertexte visité" xfId="119" builtinId="9" hidden="1"/>
    <cellStyle name="Lien hypertexte visité" xfId="120" builtinId="9" hidden="1"/>
    <cellStyle name="Lien hypertexte visité" xfId="121" builtinId="9" hidden="1"/>
    <cellStyle name="Lien hypertexte visité" xfId="122" builtinId="9" hidden="1"/>
    <cellStyle name="Lien hypertexte visité" xfId="123" builtinId="9" hidden="1"/>
    <cellStyle name="Lien hypertexte visité" xfId="124" builtinId="9" hidden="1"/>
    <cellStyle name="Lien hypertexte visité" xfId="125" builtinId="9" hidden="1"/>
    <cellStyle name="Lien hypertexte visité" xfId="126" builtinId="9" hidden="1"/>
    <cellStyle name="Lien hypertexte visité" xfId="127" builtinId="9" hidden="1"/>
    <cellStyle name="Lien hypertexte visité" xfId="128"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3" builtinId="9" hidden="1"/>
    <cellStyle name="Lien hypertexte visité" xfId="174"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Lien hypertexte visité" xfId="208" builtinId="9" hidden="1"/>
    <cellStyle name="Lien hypertexte visité" xfId="209" builtinId="9" hidden="1"/>
    <cellStyle name="Lien hypertexte visité" xfId="210" builtinId="9" hidden="1"/>
    <cellStyle name="Lien hypertexte visité" xfId="211" builtinId="9" hidden="1"/>
    <cellStyle name="Lien hypertexte visité" xfId="212" builtinId="9" hidden="1"/>
    <cellStyle name="Lien hypertexte visité" xfId="213" builtinId="9" hidden="1"/>
    <cellStyle name="Lien hypertexte visité" xfId="214" builtinId="9" hidden="1"/>
    <cellStyle name="Lien hypertexte visité" xfId="215" builtinId="9" hidden="1"/>
    <cellStyle name="Lien hypertexte visité" xfId="216" builtinId="9" hidden="1"/>
    <cellStyle name="Lien hypertexte visité" xfId="217" builtinId="9" hidden="1"/>
    <cellStyle name="Lien hypertexte visité" xfId="218" builtinId="9" hidden="1"/>
    <cellStyle name="Lien hypertexte visité" xfId="219" builtinId="9" hidden="1"/>
    <cellStyle name="Lien hypertexte visité" xfId="220" builtinId="9" hidden="1"/>
    <cellStyle name="Lien hypertexte visité" xfId="22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0" builtinId="9" hidden="1"/>
    <cellStyle name="Lien hypertexte visité" xfId="241" builtinId="9" hidden="1"/>
    <cellStyle name="Lien hypertexte visité" xfId="242" builtinId="9" hidden="1"/>
    <cellStyle name="Lien hypertexte visité" xfId="243" builtinId="9" hidden="1"/>
    <cellStyle name="Lien hypertexte visité" xfId="244" builtinId="9" hidden="1"/>
    <cellStyle name="Lien hypertexte visité" xfId="245" builtinId="9" hidden="1"/>
    <cellStyle name="Lien hypertexte visité" xfId="246" builtinId="9" hidden="1"/>
    <cellStyle name="Lien hypertexte visité" xfId="247" builtinId="9" hidden="1"/>
    <cellStyle name="Lien hypertexte visité" xfId="248" builtinId="9" hidden="1"/>
    <cellStyle name="Lien hypertexte visité" xfId="249" builtinId="9" hidden="1"/>
    <cellStyle name="Lien hypertexte visité" xfId="250" builtinId="9" hidden="1"/>
    <cellStyle name="Lien hypertexte visité" xfId="251" builtinId="9" hidden="1"/>
    <cellStyle name="Lien hypertexte visité" xfId="252" builtinId="9" hidden="1"/>
    <cellStyle name="Lien hypertexte visité" xfId="253" builtinId="9" hidden="1"/>
    <cellStyle name="Lien hypertexte visité" xfId="254" builtinId="9" hidden="1"/>
    <cellStyle name="Lien hypertexte visité" xfId="255" builtinId="9" hidden="1"/>
    <cellStyle name="Lien hypertexte visité" xfId="256" builtinId="9" hidden="1"/>
    <cellStyle name="Lien hypertexte visité" xfId="257" builtinId="9" hidden="1"/>
    <cellStyle name="Lien hypertexte visité" xfId="258" builtinId="9" hidden="1"/>
    <cellStyle name="Lien hypertexte visité" xfId="259" builtinId="9" hidden="1"/>
    <cellStyle name="Lien hypertexte visité" xfId="260" builtinId="9" hidden="1"/>
    <cellStyle name="Lien hypertexte visité" xfId="261" builtinId="9" hidden="1"/>
    <cellStyle name="Lien hypertexte visité" xfId="262" builtinId="9" hidden="1"/>
    <cellStyle name="Lien hypertexte visité" xfId="263" builtinId="9" hidden="1"/>
    <cellStyle name="Lien hypertexte visité" xfId="264" builtinId="9" hidden="1"/>
    <cellStyle name="Lien hypertexte visité" xfId="265" builtinId="9" hidden="1"/>
    <cellStyle name="Lien hypertexte visité" xfId="266" builtinId="9" hidden="1"/>
    <cellStyle name="Lien hypertexte visité" xfId="267" builtinId="9" hidden="1"/>
    <cellStyle name="Lien hypertexte visité" xfId="268" builtinId="9" hidden="1"/>
    <cellStyle name="Lien hypertexte visité" xfId="269" builtinId="9" hidden="1"/>
    <cellStyle name="Lien hypertexte visité" xfId="270" builtinId="9" hidden="1"/>
    <cellStyle name="Lien hypertexte visité" xfId="271" builtinId="9" hidden="1"/>
    <cellStyle name="Lien hypertexte visité" xfId="272" builtinId="9" hidden="1"/>
    <cellStyle name="Lien hypertexte visité" xfId="273" builtinId="9" hidden="1"/>
    <cellStyle name="Lien hypertexte visité" xfId="274" builtinId="9" hidden="1"/>
    <cellStyle name="Lien hypertexte visité" xfId="275" builtinId="9" hidden="1"/>
    <cellStyle name="Lien hypertexte visité" xfId="276" builtinId="9" hidden="1"/>
    <cellStyle name="Lien hypertexte visité" xfId="277" builtinId="9" hidden="1"/>
    <cellStyle name="Lien hypertexte visité" xfId="278" builtinId="9" hidden="1"/>
    <cellStyle name="Lien hypertexte visité" xfId="279" builtinId="9" hidden="1"/>
    <cellStyle name="Lien hypertexte visité" xfId="280" builtinId="9" hidden="1"/>
    <cellStyle name="Lien hypertexte visité" xfId="281" builtinId="9" hidden="1"/>
    <cellStyle name="Lien hypertexte visité" xfId="282" builtinId="9" hidden="1"/>
    <cellStyle name="Lien hypertexte visité" xfId="283" builtinId="9" hidden="1"/>
    <cellStyle name="Lien hypertexte visité" xfId="284" builtinId="9" hidden="1"/>
    <cellStyle name="Lien hypertexte visité" xfId="285" builtinId="9" hidden="1"/>
    <cellStyle name="Lien hypertexte visité" xfId="286" builtinId="9" hidden="1"/>
    <cellStyle name="Lien hypertexte visité" xfId="287" builtinId="9" hidden="1"/>
    <cellStyle name="Lien hypertexte visité" xfId="288" builtinId="9" hidden="1"/>
    <cellStyle name="Lien hypertexte visité" xfId="289" builtinId="9" hidden="1"/>
    <cellStyle name="Lien hypertexte visité" xfId="290" builtinId="9" hidden="1"/>
    <cellStyle name="Lien hypertexte visité" xfId="291" builtinId="9" hidden="1"/>
    <cellStyle name="Lien hypertexte visité" xfId="292" builtinId="9" hidden="1"/>
    <cellStyle name="Lien hypertexte visité" xfId="293" builtinId="9" hidden="1"/>
    <cellStyle name="Lien hypertexte visité" xfId="294" builtinId="9" hidden="1"/>
    <cellStyle name="Lien hypertexte visité" xfId="295" builtinId="9" hidden="1"/>
    <cellStyle name="Lien hypertexte visité" xfId="296" builtinId="9" hidden="1"/>
    <cellStyle name="Lien hypertexte visité" xfId="297" builtinId="9" hidden="1"/>
    <cellStyle name="Lien hypertexte visité" xfId="298" builtinId="9" hidden="1"/>
    <cellStyle name="Lien hypertexte visité" xfId="299" builtinId="9" hidden="1"/>
    <cellStyle name="Lien hypertexte visité" xfId="300" builtinId="9" hidden="1"/>
    <cellStyle name="Lien hypertexte visité" xfId="301" builtinId="9" hidden="1"/>
    <cellStyle name="Lien hypertexte visité" xfId="302" builtinId="9" hidden="1"/>
    <cellStyle name="Lien hypertexte visité" xfId="303" builtinId="9" hidden="1"/>
    <cellStyle name="Lien hypertexte visité" xfId="304" builtinId="9" hidden="1"/>
    <cellStyle name="Lien hypertexte visité" xfId="305" builtinId="9" hidden="1"/>
    <cellStyle name="Lien hypertexte visité" xfId="306" builtinId="9" hidden="1"/>
    <cellStyle name="Lien hypertexte visité" xfId="307" builtinId="9" hidden="1"/>
    <cellStyle name="Lien hypertexte visité" xfId="308" builtinId="9" hidden="1"/>
    <cellStyle name="Lien hypertexte visité" xfId="309" builtinId="9" hidden="1"/>
    <cellStyle name="Lien hypertexte visité" xfId="310" builtinId="9" hidden="1"/>
    <cellStyle name="Lien hypertexte visité" xfId="311" builtinId="9" hidden="1"/>
    <cellStyle name="Lien hypertexte visité" xfId="312" builtinId="9" hidden="1"/>
    <cellStyle name="Lien hypertexte visité" xfId="313" builtinId="9" hidden="1"/>
    <cellStyle name="Lien hypertexte visité" xfId="314" builtinId="9" hidden="1"/>
    <cellStyle name="Lien hypertexte visité" xfId="315" builtinId="9" hidden="1"/>
    <cellStyle name="Lien hypertexte visité" xfId="316" builtinId="9" hidden="1"/>
    <cellStyle name="Lien hypertexte visité" xfId="317" builtinId="9" hidden="1"/>
    <cellStyle name="Lien hypertexte visité" xfId="318" builtinId="9" hidden="1"/>
    <cellStyle name="Lien hypertexte visité" xfId="319" builtinId="9" hidden="1"/>
    <cellStyle name="Lien hypertexte visité" xfId="320" builtinId="9" hidden="1"/>
    <cellStyle name="Lien hypertexte visité" xfId="321" builtinId="9" hidden="1"/>
    <cellStyle name="Lien hypertexte visité" xfId="322" builtinId="9" hidden="1"/>
    <cellStyle name="Lien hypertexte visité" xfId="323" builtinId="9" hidden="1"/>
    <cellStyle name="Lien hypertexte visité" xfId="324" builtinId="9" hidden="1"/>
    <cellStyle name="Lien hypertexte visité" xfId="325" builtinId="9" hidden="1"/>
    <cellStyle name="Lien hypertexte visité" xfId="326" builtinId="9" hidden="1"/>
    <cellStyle name="Lien hypertexte visité" xfId="327" builtinId="9" hidden="1"/>
    <cellStyle name="Lien hypertexte visité" xfId="328" builtinId="9" hidden="1"/>
    <cellStyle name="Lien hypertexte visité" xfId="329" builtinId="9" hidden="1"/>
    <cellStyle name="Lien hypertexte visité" xfId="330" builtinId="9" hidden="1"/>
    <cellStyle name="Lien hypertexte visité" xfId="331" builtinId="9" hidden="1"/>
    <cellStyle name="Lien hypertexte visité" xfId="332" builtinId="9" hidden="1"/>
    <cellStyle name="Lien hypertexte visité" xfId="333" builtinId="9" hidden="1"/>
    <cellStyle name="Lien hypertexte visité" xfId="334" builtinId="9" hidden="1"/>
    <cellStyle name="Lien hypertexte visité" xfId="335" builtinId="9" hidden="1"/>
    <cellStyle name="Lien hypertexte visité" xfId="336" builtinId="9" hidden="1"/>
    <cellStyle name="Lien hypertexte visité" xfId="337" builtinId="9" hidden="1"/>
    <cellStyle name="Lien hypertexte visité" xfId="338" builtinId="9" hidden="1"/>
    <cellStyle name="Lien hypertexte visité" xfId="339" builtinId="9" hidden="1"/>
    <cellStyle name="Lien hypertexte visité" xfId="340" builtinId="9" hidden="1"/>
    <cellStyle name="Lien hypertexte visité" xfId="341" builtinId="9" hidden="1"/>
    <cellStyle name="Lien hypertexte visité" xfId="342" builtinId="9" hidden="1"/>
    <cellStyle name="Lien hypertexte visité" xfId="343" builtinId="9" hidden="1"/>
    <cellStyle name="Lien hypertexte visité" xfId="344" builtinId="9" hidden="1"/>
    <cellStyle name="Lien hypertexte visité" xfId="345" builtinId="9" hidden="1"/>
    <cellStyle name="Lien hypertexte visité" xfId="346" builtinId="9" hidden="1"/>
    <cellStyle name="Lien hypertexte visité" xfId="347" builtinId="9" hidden="1"/>
    <cellStyle name="Lien hypertexte visité" xfId="348" builtinId="9" hidden="1"/>
    <cellStyle name="Lien hypertexte visité" xfId="349" builtinId="9" hidden="1"/>
    <cellStyle name="Lien hypertexte visité" xfId="350" builtinId="9" hidden="1"/>
    <cellStyle name="Lien hypertexte visité" xfId="351" builtinId="9" hidden="1"/>
    <cellStyle name="Lien hypertexte visité" xfId="352" builtinId="9" hidden="1"/>
    <cellStyle name="Lien hypertexte visité" xfId="353" builtinId="9" hidden="1"/>
    <cellStyle name="Lien hypertexte visité" xfId="354" builtinId="9" hidden="1"/>
    <cellStyle name="Lien hypertexte visité" xfId="355" builtinId="9" hidden="1"/>
    <cellStyle name="Lien hypertexte visité" xfId="356" builtinId="9" hidden="1"/>
    <cellStyle name="Lien hypertexte visité" xfId="357" builtinId="9" hidden="1"/>
    <cellStyle name="Lien hypertexte visité" xfId="358" builtinId="9" hidden="1"/>
    <cellStyle name="Lien hypertexte visité" xfId="359" builtinId="9" hidden="1"/>
    <cellStyle name="Lien hypertexte visité" xfId="360" builtinId="9" hidden="1"/>
    <cellStyle name="Lien hypertexte visité" xfId="361" builtinId="9" hidden="1"/>
    <cellStyle name="Lien hypertexte visité" xfId="362" builtinId="9" hidden="1"/>
    <cellStyle name="Lien hypertexte visité" xfId="363" builtinId="9" hidden="1"/>
    <cellStyle name="Lien hypertexte visité" xfId="364" builtinId="9" hidden="1"/>
    <cellStyle name="Lien hypertexte visité" xfId="365" builtinId="9" hidden="1"/>
    <cellStyle name="Lien hypertexte visité" xfId="366" builtinId="9" hidden="1"/>
    <cellStyle name="Lien hypertexte visité" xfId="367" builtinId="9" hidden="1"/>
    <cellStyle name="Lien hypertexte visité" xfId="368" builtinId="9" hidden="1"/>
    <cellStyle name="Lien hypertexte visité" xfId="369" builtinId="9" hidden="1"/>
    <cellStyle name="Lien hypertexte visité" xfId="370" builtinId="9" hidden="1"/>
    <cellStyle name="Lien hypertexte visité" xfId="371" builtinId="9" hidden="1"/>
    <cellStyle name="Lien hypertexte visité" xfId="372" builtinId="9" hidden="1"/>
    <cellStyle name="Lien hypertexte visité" xfId="373" builtinId="9" hidden="1"/>
    <cellStyle name="Lien hypertexte visité" xfId="375" builtinId="9" hidden="1"/>
    <cellStyle name="Lien hypertexte visité" xfId="376" builtinId="9" hidden="1"/>
    <cellStyle name="Lien hypertexte visité" xfId="377" builtinId="9" hidden="1"/>
    <cellStyle name="Lien hypertexte visité" xfId="378" builtinId="9" hidden="1"/>
    <cellStyle name="Lien hypertexte visité" xfId="379" builtinId="9" hidden="1"/>
    <cellStyle name="Normal" xfId="0" builtinId="0"/>
    <cellStyle name="Normal 2" xfId="98"/>
    <cellStyle name="Normal 3" xfId="374"/>
    <cellStyle name="Style 1" xfId="99"/>
    <cellStyle name="Style 2" xfId="100"/>
    <cellStyle name="Titre" xfId="101"/>
    <cellStyle name="Vérification" xfId="102"/>
  </cellStyles>
  <dxfs count="14">
    <dxf>
      <font>
        <b/>
        <i val="0"/>
        <condense val="0"/>
        <extend val="0"/>
        <color indexed="10"/>
      </font>
    </dxf>
    <dxf>
      <font>
        <b/>
        <i val="0"/>
        <condense val="0"/>
        <extend val="0"/>
        <color indexed="10"/>
      </font>
    </dxf>
    <dxf>
      <font>
        <condense val="0"/>
        <extend val="0"/>
        <color indexed="9"/>
      </font>
      <fill>
        <patternFill>
          <bgColor indexed="9"/>
        </patternFill>
      </fill>
      <border>
        <left/>
        <right/>
        <top/>
        <bottom/>
      </border>
    </dxf>
    <dxf>
      <font>
        <b/>
        <i/>
        <condense val="0"/>
        <extend val="0"/>
        <color indexed="10"/>
      </font>
    </dxf>
    <dxf>
      <font>
        <condense val="0"/>
        <extend val="0"/>
        <color indexed="9"/>
      </font>
      <fill>
        <patternFill>
          <bgColor indexed="9"/>
        </patternFill>
      </fill>
      <border>
        <left/>
        <right/>
        <top/>
        <bottom/>
      </border>
    </dxf>
    <dxf>
      <font>
        <b/>
        <i val="0"/>
        <condense val="0"/>
        <extend val="0"/>
        <color indexed="57"/>
      </font>
    </dxf>
    <dxf>
      <font>
        <b/>
        <i val="0"/>
        <condense val="0"/>
        <extend val="0"/>
        <color indexed="57"/>
      </font>
    </dxf>
    <dxf>
      <font>
        <b/>
        <i val="0"/>
        <condense val="0"/>
        <extend val="0"/>
        <color indexed="10"/>
      </font>
    </dxf>
    <dxf>
      <font>
        <b/>
        <i val="0"/>
        <condense val="0"/>
        <extend val="0"/>
        <color indexed="62"/>
      </font>
    </dxf>
    <dxf>
      <font>
        <condense val="0"/>
        <extend val="0"/>
        <color indexed="9"/>
      </font>
      <fill>
        <patternFill>
          <bgColor indexed="9"/>
        </patternFill>
      </fill>
      <border>
        <left/>
        <right/>
        <top/>
        <bottom/>
      </border>
    </dxf>
    <dxf>
      <font>
        <condense val="0"/>
        <extend val="0"/>
        <color indexed="10"/>
      </font>
    </dxf>
    <dxf>
      <font>
        <b/>
        <i val="0"/>
        <condense val="0"/>
        <extend val="0"/>
        <color indexed="57"/>
      </font>
    </dxf>
    <dxf>
      <font>
        <b/>
        <i val="0"/>
        <strike val="0"/>
        <condense val="0"/>
        <extend val="0"/>
        <color indexed="62"/>
      </font>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externalLink" Target="externalLinks/externalLink1.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2</xdr:col>
      <xdr:colOff>622300</xdr:colOff>
      <xdr:row>31</xdr:row>
      <xdr:rowOff>101600</xdr:rowOff>
    </xdr:from>
    <xdr:to>
      <xdr:col>5</xdr:col>
      <xdr:colOff>558800</xdr:colOff>
      <xdr:row>31</xdr:row>
      <xdr:rowOff>101600</xdr:rowOff>
    </xdr:to>
    <xdr:sp macro="" textlink="">
      <xdr:nvSpPr>
        <xdr:cNvPr id="2" name="Line 1025"/>
        <xdr:cNvSpPr>
          <a:spLocks noChangeShapeType="1"/>
        </xdr:cNvSpPr>
      </xdr:nvSpPr>
      <xdr:spPr bwMode="auto">
        <a:xfrm>
          <a:off x="1473200" y="4457700"/>
          <a:ext cx="1524000" cy="0"/>
        </a:xfrm>
        <a:prstGeom prst="line">
          <a:avLst/>
        </a:prstGeom>
        <a:noFill/>
        <a:ln w="19050">
          <a:solidFill>
            <a:srgbClr val="000000"/>
          </a:solidFill>
          <a:round/>
          <a:headEnd/>
          <a:tailEnd type="stealth" w="lg" len="lg"/>
        </a:ln>
        <a:extLst>
          <a:ext uri="{909E8E84-426E-40dd-AFC4-6F175D3DCCD1}">
            <a14:hiddenFill xmlns:a14="http://schemas.microsoft.com/office/drawing/2010/main">
              <a:noFill/>
            </a14:hiddenFill>
          </a:ext>
        </a:extLst>
      </xdr:spPr>
      <xdr:txBody>
        <a:bodyPr rtlCol="0"/>
        <a:lstStyle/>
        <a:p>
          <a:pPr algn="ctr"/>
          <a:endParaRPr lang="fr-F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nn&#233;es_b_c.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uide"/>
      <sheetName val="données"/>
      <sheetName val="allures"/>
      <sheetName val="VO2max"/>
      <sheetName val="calories"/>
      <sheetName val="VMA"/>
      <sheetName val="pyramide"/>
      <sheetName val="vertical"/>
      <sheetName val="distance"/>
      <sheetName val="seuil"/>
      <sheetName val="trail"/>
      <sheetName val="temps"/>
      <sheetName val="utmb-"/>
      <sheetName val="utmb+"/>
      <sheetName val="tds-"/>
      <sheetName val="tds+"/>
      <sheetName val="ccc-"/>
      <sheetName val="ccc+"/>
    </sheetNames>
    <sheetDataSet>
      <sheetData sheetId="0"/>
      <sheetData sheetId="1">
        <row r="5">
          <cell r="C5">
            <v>24599</v>
          </cell>
          <cell r="I5">
            <v>48</v>
          </cell>
        </row>
      </sheetData>
      <sheetData sheetId="2">
        <row r="47">
          <cell r="E47">
            <v>10.799999999999999</v>
          </cell>
          <cell r="K47">
            <v>15.299999999999999</v>
          </cell>
        </row>
        <row r="48">
          <cell r="K48">
            <v>163.70999999999998</v>
          </cell>
        </row>
        <row r="53">
          <cell r="K53">
            <v>160</v>
          </cell>
          <cell r="L53">
            <v>167</v>
          </cell>
          <cell r="U53">
            <v>181</v>
          </cell>
        </row>
      </sheetData>
      <sheetData sheetId="3"/>
      <sheetData sheetId="4"/>
      <sheetData sheetId="5">
        <row r="17">
          <cell r="G17">
            <v>393</v>
          </cell>
        </row>
      </sheetData>
      <sheetData sheetId="6"/>
      <sheetData sheetId="7"/>
      <sheetData sheetId="8"/>
      <sheetData sheetId="9">
        <row r="6">
          <cell r="D6">
            <v>15.400254129606097</v>
          </cell>
        </row>
      </sheetData>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372"/>
  <sheetViews>
    <sheetView showGridLines="0" workbookViewId="0">
      <selection activeCell="L29" sqref="L29:L36"/>
    </sheetView>
  </sheetViews>
  <sheetFormatPr baseColWidth="10" defaultRowHeight="12" x14ac:dyDescent="0"/>
  <cols>
    <col min="1" max="2" width="2.6640625" customWidth="1"/>
    <col min="3" max="3" width="13.1640625" style="235" bestFit="1" customWidth="1"/>
    <col min="4" max="4" width="13.1640625" style="235" customWidth="1"/>
    <col min="5" max="6" width="8.1640625" style="3" bestFit="1" customWidth="1"/>
    <col min="7" max="7" width="59.1640625" style="269" customWidth="1"/>
    <col min="8" max="9" width="10.6640625" bestFit="1" customWidth="1"/>
    <col min="10" max="10" width="15.1640625" bestFit="1" customWidth="1"/>
    <col min="11" max="11" width="9" customWidth="1"/>
    <col min="12" max="12" width="22" bestFit="1" customWidth="1"/>
    <col min="13" max="13" width="10.5" customWidth="1"/>
    <col min="14" max="14" width="11" bestFit="1" customWidth="1"/>
    <col min="15" max="15" width="13" bestFit="1" customWidth="1"/>
    <col min="16" max="16" width="13" customWidth="1"/>
    <col min="17" max="17" width="17.5" bestFit="1" customWidth="1"/>
    <col min="18" max="18" width="12.6640625" customWidth="1"/>
    <col min="19" max="21" width="17.5" customWidth="1"/>
    <col min="23" max="23" width="68.6640625" customWidth="1"/>
    <col min="24" max="24" width="10.83203125" style="3"/>
  </cols>
  <sheetData>
    <row r="1" spans="2:24" ht="13" thickBot="1"/>
    <row r="2" spans="2:24" ht="23" customHeight="1" thickTop="1" thickBot="1">
      <c r="B2" s="386" t="s">
        <v>364</v>
      </c>
      <c r="C2" s="387"/>
      <c r="D2" s="387"/>
      <c r="E2" s="387"/>
      <c r="F2" s="387"/>
      <c r="G2" s="387"/>
      <c r="H2" s="387"/>
      <c r="I2" s="387"/>
      <c r="J2" s="387"/>
      <c r="K2" s="387"/>
      <c r="L2" s="387"/>
      <c r="M2" s="387"/>
      <c r="N2" s="387"/>
      <c r="O2" s="387"/>
      <c r="P2" s="387"/>
      <c r="Q2" s="387"/>
      <c r="R2" s="387"/>
      <c r="S2" s="387"/>
      <c r="T2" s="387"/>
      <c r="U2" s="388"/>
      <c r="W2" s="382" t="s">
        <v>256</v>
      </c>
    </row>
    <row r="3" spans="2:24" ht="14" thickTop="1" thickBot="1">
      <c r="W3" s="382"/>
    </row>
    <row r="4" spans="2:24" ht="30" customHeight="1" thickTop="1" thickBot="1">
      <c r="B4" s="265"/>
      <c r="C4" s="389" t="s">
        <v>637</v>
      </c>
      <c r="D4" s="390"/>
      <c r="E4" s="390"/>
      <c r="F4" s="390"/>
      <c r="G4" s="391"/>
      <c r="H4" s="383" t="s">
        <v>484</v>
      </c>
      <c r="I4" s="384"/>
      <c r="J4" s="384"/>
      <c r="K4" s="384"/>
      <c r="L4" s="385"/>
      <c r="M4" s="383" t="s">
        <v>485</v>
      </c>
      <c r="N4" s="384"/>
      <c r="O4" s="384"/>
      <c r="P4" s="384"/>
      <c r="Q4" s="385"/>
      <c r="R4" s="383" t="s">
        <v>496</v>
      </c>
      <c r="S4" s="384"/>
      <c r="T4" s="384"/>
      <c r="U4" s="385"/>
      <c r="W4" s="382"/>
    </row>
    <row r="5" spans="2:24" ht="37" thickBot="1">
      <c r="B5" s="265"/>
      <c r="C5" s="265" t="s">
        <v>240</v>
      </c>
      <c r="D5" s="265"/>
      <c r="E5" s="266" t="s">
        <v>246</v>
      </c>
      <c r="F5" s="266" t="s">
        <v>252</v>
      </c>
      <c r="G5" s="267" t="s">
        <v>365</v>
      </c>
      <c r="H5" s="220" t="s">
        <v>253</v>
      </c>
      <c r="I5" s="220" t="s">
        <v>254</v>
      </c>
      <c r="J5" s="220" t="s">
        <v>255</v>
      </c>
      <c r="K5" s="20" t="s">
        <v>248</v>
      </c>
      <c r="L5" s="220" t="s">
        <v>384</v>
      </c>
      <c r="M5" s="220" t="s">
        <v>253</v>
      </c>
      <c r="N5" s="220" t="s">
        <v>254</v>
      </c>
      <c r="O5" s="220" t="s">
        <v>255</v>
      </c>
      <c r="P5" s="220" t="s">
        <v>248</v>
      </c>
      <c r="Q5" s="220" t="s">
        <v>486</v>
      </c>
      <c r="R5" s="220" t="s">
        <v>497</v>
      </c>
      <c r="S5" s="220" t="s">
        <v>253</v>
      </c>
      <c r="T5" s="220" t="s">
        <v>254</v>
      </c>
      <c r="U5" s="220" t="s">
        <v>255</v>
      </c>
      <c r="W5" s="382"/>
    </row>
    <row r="6" spans="2:24" ht="16" thickBot="1">
      <c r="B6" s="28"/>
      <c r="C6" s="244">
        <v>42370</v>
      </c>
      <c r="D6" s="35" t="str">
        <f t="shared" ref="D6:D7" si="0">IF(EXACT(WEEKDAY(C6),1),"Dimanche",IF(EXACT(WEEKDAY(C6),2),"Lundi",IF(EXACT(WEEKDAY(C6),3),"Mardi",IF(EXACT(WEEKDAY(C6),4),"Mercredi",IF(EXACT(WEEKDAY(C6),5),"Jeudi",IF(EXACT(WEEKDAY(C6),6),"Vendredi",IF(EXACT(WEEKDAY(C6),7),"samedi","Erreur de date")))))))</f>
        <v>Vendredi</v>
      </c>
      <c r="E6" s="124">
        <f>WEEKNUM($C6)</f>
        <v>1</v>
      </c>
      <c r="F6" s="124">
        <f>MONTH(C6)</f>
        <v>1</v>
      </c>
      <c r="G6" s="27" t="s">
        <v>685</v>
      </c>
      <c r="H6" s="28" t="str">
        <f>CONCATENATE(SUMIF($E$6:$E6,$E6,$K$6:$K$370)," / ",SUMIF($E$6:$E$370,$E6,$K$6:$K370))</f>
        <v>10 / 10</v>
      </c>
      <c r="I6" s="28" t="str">
        <f>CONCATENATE(SUMIF($F$6:$F6,$F6,$K$6:$K370)," / ",SUMIF($F$6:$F$370,$F6,$K$6:$K370))</f>
        <v>10 / 97,7</v>
      </c>
      <c r="J6" s="28" t="str">
        <f>CONCATENATE(SUM($K$6:$K6)," / ",SUM($K$6:$K$370))</f>
        <v>10 / 180,895</v>
      </c>
      <c r="K6" s="245">
        <v>10</v>
      </c>
      <c r="L6" s="28" t="s">
        <v>576</v>
      </c>
      <c r="M6" s="28" t="str">
        <f>CONCATENATE(SUMIF($E$6:$E6,$E6,$P$6:$P$370)," / ",SUMIF($E$6:$E$370,$E6,$P$6:$P$370))</f>
        <v>0 / 0</v>
      </c>
      <c r="N6" s="28" t="str">
        <f>CONCATENATE(SUMIF($F$6:$F6,$F6,$P6)," / ",SUMIF($F$6:$F$370,$F6,$P$6:$P$370))</f>
        <v>0 / 30</v>
      </c>
      <c r="O6" s="28" t="str">
        <f>CONCATENATE(SUM($P6)," / ",SUM($P$6:$P$370))</f>
        <v>0 / 30</v>
      </c>
      <c r="P6" s="245">
        <v>0</v>
      </c>
      <c r="Q6" s="28"/>
      <c r="R6" s="246">
        <v>0</v>
      </c>
      <c r="S6" s="28" t="str">
        <f>CONCATENATE(SUMIF($E$6:$E6,E6,$R$6:$R$370)," / ",SUMIF($E$6:$E$370,E6,$R$6:$R$370))</f>
        <v>0 / 0</v>
      </c>
      <c r="T6" s="28" t="str">
        <f>CONCATENATE(SUMIF($F$6:$F6,$F6,$R$6:$R$370)," / ",SUMIF($F$6:$F$370,$F6,$R$6:$R$370))</f>
        <v>0 / 0</v>
      </c>
      <c r="U6" s="28" t="str">
        <f>CONCATENATE(SUM($R$6:$R6)," / ",SUM($R$6:$R$370))</f>
        <v>0 / 0</v>
      </c>
      <c r="V6" s="283"/>
      <c r="W6" s="284"/>
      <c r="X6" s="3">
        <f t="shared" ref="X6:X8" ca="1" si="1">SUMIF($E$6:$E$370,$E6,$K6)</f>
        <v>10</v>
      </c>
    </row>
    <row r="7" spans="2:24" ht="13" thickBot="1">
      <c r="B7" s="28"/>
      <c r="C7" s="237">
        <f>C6+1</f>
        <v>42371</v>
      </c>
      <c r="D7" s="35" t="str">
        <f t="shared" si="0"/>
        <v>samedi</v>
      </c>
      <c r="E7" s="124">
        <f t="shared" ref="E7:E70" si="2">WEEKNUM($C7)</f>
        <v>1</v>
      </c>
      <c r="F7" s="124">
        <f t="shared" ref="F7:F70" si="3">MONTH(C7)</f>
        <v>1</v>
      </c>
      <c r="G7" s="27"/>
      <c r="H7" s="28" t="str">
        <f>CONCATENATE(SUMIF($E$6:$E7,$E7,$K$6:$K$370)," / ",SUMIF($E$6:$E$370,$E7,$K$6:$K371))</f>
        <v>10 / 10</v>
      </c>
      <c r="I7" s="28" t="str">
        <f>CONCATENATE(SUMIF($F$6:$F7,$F7,$K$6:$K371)," / ",SUMIF($F$6:$F$370,$F7,$K$6:$K371))</f>
        <v>10 / 97,7</v>
      </c>
      <c r="J7" s="28" t="str">
        <f>CONCATENATE(SUM($K$6:$K7)," / ",SUM($K$6:$K$370))</f>
        <v>10 / 180,895</v>
      </c>
      <c r="K7" s="245">
        <v>0</v>
      </c>
      <c r="L7" s="28"/>
      <c r="M7" s="28" t="str">
        <f>CONCATENATE(SUMIF($E$6:$E7,$E7,$P$6:$P$370)," / ",SUMIF($E$6:$E$370,$E7,$P$6:$P$370))</f>
        <v>0 / 0</v>
      </c>
      <c r="N7" s="28" t="str">
        <f ca="1">CONCATENATE(SUMIF($F$6:$F7,$F7,$P7)," / ",SUMIF($F$6:$F$370,$F7,$P$6:$P$370))</f>
        <v>0 / 30</v>
      </c>
      <c r="O7" s="28" t="str">
        <f t="shared" ref="O7:O70" si="4">CONCATENATE(SUM($P7)," / ",SUM($P$6:$P$370))</f>
        <v>0 / 30</v>
      </c>
      <c r="P7" s="245">
        <v>0</v>
      </c>
      <c r="Q7" s="28"/>
      <c r="R7" s="246">
        <v>0</v>
      </c>
      <c r="S7" s="28" t="str">
        <f>CONCATENATE(SUMIF($E$6:$E7,E7,$R$6:$R$370)," / ",SUMIF($E$6:$E$370,E7,$R$6:$R$370))</f>
        <v>0 / 0</v>
      </c>
      <c r="T7" s="28" t="str">
        <f>CONCATENATE(SUMIF($F$6:$F7,$F7,$R$6:$R$370)," / ",SUMIF($F$6:$F$370,$F7,$R$6:$R$370))</f>
        <v>0 / 0</v>
      </c>
      <c r="U7" s="28" t="str">
        <f>CONCATENATE(SUM($R$6:$R7)," / ",SUM($R$6:$R$370))</f>
        <v>0 / 0</v>
      </c>
      <c r="X7" s="3">
        <f t="shared" ca="1" si="1"/>
        <v>0</v>
      </c>
    </row>
    <row r="8" spans="2:24" ht="13" thickBot="1">
      <c r="B8" s="28"/>
      <c r="C8" s="237">
        <f t="shared" ref="C8:C71" si="5">C7+1</f>
        <v>42372</v>
      </c>
      <c r="D8" s="35" t="str">
        <f>IF(EXACT(WEEKDAY(C8),1),"Dimanche",IF(EXACT(WEEKDAY(C8),2),"Lundi",IF(EXACT(WEEKDAY(C8),3),"Mardi",IF(EXACT(WEEKDAY(C8),4),"Mercredi",IF(EXACT(WEEKDAY(C8),5),"Jeudi",IF(EXACT(WEEKDAY(C8),6),"Vendredi",IF(EXACT(WEEKDAY(C8),7),"samedi","Erreur de date")))))))</f>
        <v>Dimanche</v>
      </c>
      <c r="E8" s="124">
        <f t="shared" si="2"/>
        <v>2</v>
      </c>
      <c r="F8" s="124">
        <f t="shared" si="3"/>
        <v>1</v>
      </c>
      <c r="G8" s="27"/>
      <c r="H8" s="28" t="str">
        <f>CONCATENATE(SUMIF($E$6:$E8,$E8,$K$6:$K$370)," / ",SUMIF($E$6:$E$370,$E8,$K$6:$K372))</f>
        <v>0 / 36</v>
      </c>
      <c r="I8" s="28" t="str">
        <f>CONCATENATE(SUMIF($F$6:$F8,$F8,$K$6:$K372)," / ",SUMIF($F$6:$F$370,$F8,$K$6:$K372))</f>
        <v>10 / 97,7</v>
      </c>
      <c r="J8" s="28" t="str">
        <f>CONCATENATE(SUM($K$6:$K8)," / ",SUM($K$6:$K$370))</f>
        <v>10 / 180,895</v>
      </c>
      <c r="K8" s="245">
        <v>0</v>
      </c>
      <c r="L8" s="28"/>
      <c r="M8" s="28" t="str">
        <f>CONCATENATE(SUMIF($E$6:$E8,$E8,$P$6:$P$370)," / ",SUMIF($E$6:$E$370,$E8,$P$6:$P$370))</f>
        <v>0 / 30</v>
      </c>
      <c r="N8" s="28" t="str">
        <f ca="1">CONCATENATE(SUMIF($F$6:$F8,$F8,$P8)," / ",SUMIF($F$6:$F$370,$F8,$P$6:$P$370))</f>
        <v>30 / 30</v>
      </c>
      <c r="O8" s="28" t="str">
        <f t="shared" si="4"/>
        <v>0 / 30</v>
      </c>
      <c r="P8" s="245">
        <v>0</v>
      </c>
      <c r="Q8" s="28"/>
      <c r="R8" s="246">
        <v>0</v>
      </c>
      <c r="S8" s="28" t="str">
        <f>CONCATENATE(SUMIF($E$6:$E8,E8,$R$6:$R$370)," / ",SUMIF($E$6:$E$370,E8,$R$6:$R$370))</f>
        <v>0 / 0</v>
      </c>
      <c r="T8" s="28" t="str">
        <f>CONCATENATE(SUMIF($F$6:$F8,$F8,$R$6:$R$370)," / ",SUMIF($F$6:$F$370,$F8,$R$6:$R$370))</f>
        <v>0 / 0</v>
      </c>
      <c r="U8" s="28" t="str">
        <f>CONCATENATE(SUM($R$6:$R8)," / ",SUM($R$6:$R$370))</f>
        <v>0 / 0</v>
      </c>
      <c r="X8" s="3">
        <f t="shared" ca="1" si="1"/>
        <v>36</v>
      </c>
    </row>
    <row r="9" spans="2:24" ht="13" thickBot="1">
      <c r="B9" s="28"/>
      <c r="C9" s="237">
        <f t="shared" si="5"/>
        <v>42373</v>
      </c>
      <c r="D9" s="35" t="str">
        <f t="shared" ref="D9:D72" si="6">IF(EXACT(WEEKDAY(C9),1),"Dimanche",IF(EXACT(WEEKDAY(C9),2),"Lundi",IF(EXACT(WEEKDAY(C9),3),"Mardi",IF(EXACT(WEEKDAY(C9),4),"Mercredi",IF(EXACT(WEEKDAY(C9),5),"Jeudi",IF(EXACT(WEEKDAY(C9),6),"Vendredi",IF(EXACT(WEEKDAY(C9),7),"samedi","Erreur de date")))))))</f>
        <v>Lundi</v>
      </c>
      <c r="E9" s="124">
        <f t="shared" si="2"/>
        <v>2</v>
      </c>
      <c r="F9" s="124">
        <f t="shared" si="3"/>
        <v>1</v>
      </c>
      <c r="G9" s="27" t="s">
        <v>687</v>
      </c>
      <c r="H9" s="28" t="str">
        <f>CONCATENATE(SUMIF($E$6:$E9,$E9,$K$6:$K$370)," / ",SUMIF($E$6:$E$370,$E9,$K$6:$K373))</f>
        <v>0 / 36</v>
      </c>
      <c r="I9" s="28" t="str">
        <f>CONCATENATE(SUMIF($F$6:$F9,$F9,$K$6:$K373)," / ",SUMIF($F$6:$F$370,$F9,$K$6:$K373))</f>
        <v>10 / 97,7</v>
      </c>
      <c r="J9" s="28" t="str">
        <f>CONCATENATE(SUM($K$6:$K9)," / ",SUM($K$6:$K$370))</f>
        <v>10 / 180,895</v>
      </c>
      <c r="K9" s="245">
        <v>0</v>
      </c>
      <c r="L9" s="28"/>
      <c r="M9" s="28" t="str">
        <f>CONCATENATE(SUMIF($E$6:$E9,$E9,$P$6:$P$370)," / ",SUMIF($E$6:$E$370,$E9,$P$6:$P$370))</f>
        <v>30 / 30</v>
      </c>
      <c r="N9" s="28" t="str">
        <f ca="1">CONCATENATE(SUMIF($F$6:$F9,$F9,$P9)," / ",SUMIF($F$6:$F$370,$F9,$P$6:$P$370))</f>
        <v>30 / 30</v>
      </c>
      <c r="O9" s="28" t="str">
        <f t="shared" si="4"/>
        <v>30 / 30</v>
      </c>
      <c r="P9" s="245">
        <v>30</v>
      </c>
      <c r="Q9" s="28" t="s">
        <v>489</v>
      </c>
      <c r="R9" s="246">
        <v>0</v>
      </c>
      <c r="S9" s="28" t="str">
        <f>CONCATENATE(SUMIF($E$6:$E9,E9,$R$6:$R$370)," / ",SUMIF($E$6:$E$370,E9,$R$6:$R$370))</f>
        <v>0 / 0</v>
      </c>
      <c r="T9" s="28" t="str">
        <f>CONCATENATE(SUMIF($F$6:$F9,$F9,$R$6:$R$370)," / ",SUMIF($F$6:$F$370,$F9,$R$6:$R$370))</f>
        <v>0 / 0</v>
      </c>
      <c r="U9" s="28" t="str">
        <f>CONCATENATE(SUM($R$6:$R9)," / ",SUM($R$6:$R$370))</f>
        <v>0 / 0</v>
      </c>
      <c r="W9">
        <f ca="1">SUMIF($E$6:$E9,$E9,$K9)</f>
        <v>18</v>
      </c>
      <c r="X9" s="3">
        <f ca="1">SUMIF($E$6:$E$370,$E9,$K9)</f>
        <v>45</v>
      </c>
    </row>
    <row r="10" spans="2:24" ht="13" thickBot="1">
      <c r="B10" s="28"/>
      <c r="C10" s="237">
        <f t="shared" si="5"/>
        <v>42374</v>
      </c>
      <c r="D10" s="35" t="str">
        <f t="shared" si="6"/>
        <v>Mardi</v>
      </c>
      <c r="E10" s="124">
        <f t="shared" si="2"/>
        <v>2</v>
      </c>
      <c r="F10" s="124">
        <f t="shared" si="3"/>
        <v>1</v>
      </c>
      <c r="G10" s="27"/>
      <c r="H10" s="28" t="str">
        <f>CONCATENATE(SUMIF($E$6:$E10,$E10,$K$6:$K$370)," / ",SUMIF($E$6:$E$370,$E10,$K$6:$K374))</f>
        <v>0 / 36</v>
      </c>
      <c r="I10" s="28" t="str">
        <f>CONCATENATE(SUMIF($F$6:$F10,$F10,$K$6:$K374)," / ",SUMIF($F$6:$F$370,$F10,$K$6:$K374))</f>
        <v>10 / 97,7</v>
      </c>
      <c r="J10" s="28" t="str">
        <f>CONCATENATE(SUM($K$6:$K10)," / ",SUM($K$6:$K$370))</f>
        <v>10 / 180,895</v>
      </c>
      <c r="K10" s="245">
        <v>0</v>
      </c>
      <c r="L10" s="28"/>
      <c r="M10" s="28" t="str">
        <f>CONCATENATE(SUMIF($E$6:$E10,$E10,$P$6:$P$370)," / ",SUMIF($E$6:$E$370,$E10,$P$6:$P$370))</f>
        <v>30 / 30</v>
      </c>
      <c r="N10" s="28" t="str">
        <f ca="1">CONCATENATE(SUMIF($F$6:$F10,$F10,$P10)," / ",SUMIF($F$6:$F$370,$F10,$P$6:$P$370))</f>
        <v>0 / 30</v>
      </c>
      <c r="O10" s="28" t="str">
        <f t="shared" si="4"/>
        <v>0 / 30</v>
      </c>
      <c r="P10" s="245">
        <v>0</v>
      </c>
      <c r="Q10" s="28"/>
      <c r="R10" s="246">
        <v>0</v>
      </c>
      <c r="S10" s="28" t="str">
        <f>CONCATENATE(SUMIF($E$6:$E10,E10,$R$6:$R$370)," / ",SUMIF($E$6:$E$370,E10,$R$6:$R$370))</f>
        <v>0 / 0</v>
      </c>
      <c r="T10" s="28" t="str">
        <f>CONCATENATE(SUMIF($F$6:$F10,$F10,$R$6:$R$370)," / ",SUMIF($F$6:$F$370,$F10,$R$6:$R$370))</f>
        <v>0 / 0</v>
      </c>
      <c r="U10" s="28" t="str">
        <f>CONCATENATE(SUM($R$6:$R10)," / ",SUM($R$6:$R$370))</f>
        <v>0 / 0</v>
      </c>
      <c r="X10" s="3">
        <f t="shared" ref="X10:X24" ca="1" si="7">SUMIF($E$6:$E$370,$E10,$K10)</f>
        <v>36</v>
      </c>
    </row>
    <row r="11" spans="2:24" ht="13" thickBot="1">
      <c r="B11" s="28"/>
      <c r="C11" s="237">
        <f t="shared" si="5"/>
        <v>42375</v>
      </c>
      <c r="D11" s="35" t="str">
        <f t="shared" si="6"/>
        <v>Mercredi</v>
      </c>
      <c r="E11" s="124">
        <f t="shared" si="2"/>
        <v>2</v>
      </c>
      <c r="F11" s="124">
        <f t="shared" si="3"/>
        <v>1</v>
      </c>
      <c r="G11" s="27" t="s">
        <v>686</v>
      </c>
      <c r="H11" s="28" t="str">
        <f>CONCATENATE(SUMIF($E$6:$E11,$E11,$K$6:$K$370)," / ",SUMIF($E$6:$E$370,$E11,$K$6:$K375))</f>
        <v>9 / 36</v>
      </c>
      <c r="I11" s="28" t="str">
        <f>CONCATENATE(SUMIF($F$6:$F11,$F11,$K$6:$K375)," / ",SUMIF($F$6:$F$370,$F11,$K$6:$K375))</f>
        <v>19 / 97,7</v>
      </c>
      <c r="J11" s="28" t="str">
        <f>CONCATENATE(SUM($K$6:$K11)," / ",SUM($K$6:$K$370))</f>
        <v>19 / 180,895</v>
      </c>
      <c r="K11" s="245">
        <v>9</v>
      </c>
      <c r="L11" s="28" t="s">
        <v>576</v>
      </c>
      <c r="M11" s="28" t="str">
        <f>CONCATENATE(SUMIF($E$6:$E11,$E11,$P$6:$P$370)," / ",SUMIF($E$6:$E$370,$E11,$P$6:$P$370))</f>
        <v>30 / 30</v>
      </c>
      <c r="N11" s="28" t="str">
        <f ca="1">CONCATENATE(SUMIF($F$6:$F11,$F11,$P11)," / ",SUMIF($F$6:$F$370,$F11,$P$6:$P$370))</f>
        <v>0 / 30</v>
      </c>
      <c r="O11" s="28" t="str">
        <f t="shared" si="4"/>
        <v>0 / 30</v>
      </c>
      <c r="P11" s="245">
        <v>0</v>
      </c>
      <c r="Q11" s="28"/>
      <c r="R11" s="246">
        <v>0</v>
      </c>
      <c r="S11" s="28" t="str">
        <f>CONCATENATE(SUMIF($E$6:$E11,E11,$R$6:$R$370)," / ",SUMIF($E$6:$E$370,E11,$R$6:$R$370))</f>
        <v>0 / 0</v>
      </c>
      <c r="T11" s="28" t="str">
        <f>CONCATENATE(SUMIF($F$6:$F11,$F11,$R$6:$R$370)," / ",SUMIF($F$6:$F$370,$F11,$R$6:$R$370))</f>
        <v>0 / 0</v>
      </c>
      <c r="U11" s="28" t="str">
        <f>CONCATENATE(SUM($R$6:$R11)," / ",SUM($R$6:$R$370))</f>
        <v>0 / 0</v>
      </c>
      <c r="X11" s="3">
        <f t="shared" ca="1" si="7"/>
        <v>39.700000000000003</v>
      </c>
    </row>
    <row r="12" spans="2:24" ht="13" thickBot="1">
      <c r="B12" s="28"/>
      <c r="C12" s="237">
        <f t="shared" si="5"/>
        <v>42376</v>
      </c>
      <c r="D12" s="35" t="str">
        <f t="shared" si="6"/>
        <v>Jeudi</v>
      </c>
      <c r="E12" s="124">
        <f t="shared" si="2"/>
        <v>2</v>
      </c>
      <c r="F12" s="124">
        <f t="shared" si="3"/>
        <v>1</v>
      </c>
      <c r="G12" s="275" t="s">
        <v>688</v>
      </c>
      <c r="H12" s="28" t="str">
        <f>CONCATENATE(SUMIF($E$6:$E12,$E12,$K$6:$K$370)," / ",SUMIF($E$6:$E$370,$E12,$K$6:$K376))</f>
        <v>18 / 36</v>
      </c>
      <c r="I12" s="28" t="str">
        <f>CONCATENATE(SUMIF($F$6:$F12,$F12,$K$6:$K376)," / ",SUMIF($F$6:$F$370,$F12,$K$6:$K376))</f>
        <v>28 / 97,7</v>
      </c>
      <c r="J12" s="28" t="str">
        <f>CONCATENATE(SUM($K$6:$K12)," / ",SUM($K$6:$K$370))</f>
        <v>28 / 180,895</v>
      </c>
      <c r="K12" s="245">
        <v>9</v>
      </c>
      <c r="L12" s="28" t="s">
        <v>634</v>
      </c>
      <c r="M12" s="28" t="str">
        <f>CONCATENATE(SUMIF($E$6:$E12,$E12,$P$6:$P$370)," / ",SUMIF($E$6:$E$370,$E12,$P$6:$P$370))</f>
        <v>30 / 30</v>
      </c>
      <c r="N12" s="28" t="str">
        <f ca="1">CONCATENATE(SUMIF($F$6:$F12,$F12,$P12)," / ",SUMIF($F$6:$F$370,$F12,$P$6:$P$370))</f>
        <v>0 / 30</v>
      </c>
      <c r="O12" s="28" t="str">
        <f t="shared" si="4"/>
        <v>0 / 30</v>
      </c>
      <c r="P12" s="245">
        <v>0</v>
      </c>
      <c r="Q12" s="28"/>
      <c r="R12" s="246">
        <v>0</v>
      </c>
      <c r="S12" s="28" t="str">
        <f>CONCATENATE(SUMIF($E$6:$E12,E12,$R$6:$R$370)," / ",SUMIF($E$6:$E$370,E12,$R$6:$R$370))</f>
        <v>0 / 0</v>
      </c>
      <c r="T12" s="28" t="str">
        <f>CONCATENATE(SUMIF($F$6:$F12,$F12,$R$6:$R$370)," / ",SUMIF($F$6:$F$370,$F12,$R$6:$R$370))</f>
        <v>0 / 0</v>
      </c>
      <c r="U12" s="28" t="str">
        <f>CONCATENATE(SUM($R$6:$R12)," / ",SUM($R$6:$R$370))</f>
        <v>0 / 0</v>
      </c>
      <c r="X12" s="3">
        <f t="shared" ca="1" si="7"/>
        <v>39.700000000000003</v>
      </c>
    </row>
    <row r="13" spans="2:24" ht="13" thickBot="1">
      <c r="B13" s="28"/>
      <c r="C13" s="237">
        <f t="shared" si="5"/>
        <v>42377</v>
      </c>
      <c r="D13" s="35" t="str">
        <f t="shared" si="6"/>
        <v>Vendredi</v>
      </c>
      <c r="E13" s="124">
        <f t="shared" si="2"/>
        <v>2</v>
      </c>
      <c r="F13" s="124">
        <f t="shared" si="3"/>
        <v>1</v>
      </c>
      <c r="G13" s="27"/>
      <c r="H13" s="28" t="str">
        <f>CONCATENATE(SUMIF($E$6:$E13,$E13,$K$6:$K$370)," / ",SUMIF($E$6:$E$370,$E13,$K$6:$K377))</f>
        <v>18 / 36</v>
      </c>
      <c r="I13" s="28" t="str">
        <f>CONCATENATE(SUMIF($F$6:$F13,$F13,$K$6:$K377)," / ",SUMIF($F$6:$F$370,$F13,$K$6:$K377))</f>
        <v>28 / 97,7</v>
      </c>
      <c r="J13" s="28" t="str">
        <f>CONCATENATE(SUM($K$6:$K13)," / ",SUM($K$6:$K$370))</f>
        <v>28 / 180,895</v>
      </c>
      <c r="K13" s="245">
        <v>0</v>
      </c>
      <c r="L13" s="28"/>
      <c r="M13" s="28" t="str">
        <f>CONCATENATE(SUMIF($E$6:$E13,$E13,$P$6:$P$370)," / ",SUMIF($E$6:$E$370,$E13,$P$6:$P$370))</f>
        <v>30 / 30</v>
      </c>
      <c r="N13" s="28" t="str">
        <f ca="1">CONCATENATE(SUMIF($F$6:$F13,$F13,$P13)," / ",SUMIF($F$6:$F$370,$F13,$P$6:$P$370))</f>
        <v>0 / 30</v>
      </c>
      <c r="O13" s="28" t="str">
        <f t="shared" si="4"/>
        <v>0 / 30</v>
      </c>
      <c r="P13" s="245">
        <v>0</v>
      </c>
      <c r="Q13" s="28"/>
      <c r="R13" s="246">
        <v>0</v>
      </c>
      <c r="S13" s="28" t="str">
        <f>CONCATENATE(SUMIF($E$6:$E13,E13,$R$6:$R$370)," / ",SUMIF($E$6:$E$370,E13,$R$6:$R$370))</f>
        <v>0 / 0</v>
      </c>
      <c r="T13" s="28" t="str">
        <f>CONCATENATE(SUMIF($F$6:$F13,$F13,$R$6:$R$370)," / ",SUMIF($F$6:$F$370,$F13,$R$6:$R$370))</f>
        <v>0 / 0</v>
      </c>
      <c r="U13" s="28" t="str">
        <f>CONCATENATE(SUM($R$6:$R13)," / ",SUM($R$6:$R$370))</f>
        <v>0 / 0</v>
      </c>
      <c r="X13" s="3">
        <f t="shared" ca="1" si="7"/>
        <v>33.700000000000003</v>
      </c>
    </row>
    <row r="14" spans="2:24" ht="13" thickBot="1">
      <c r="B14" s="28"/>
      <c r="C14" s="237">
        <f t="shared" si="5"/>
        <v>42378</v>
      </c>
      <c r="D14" s="35" t="str">
        <f t="shared" si="6"/>
        <v>samedi</v>
      </c>
      <c r="E14" s="124">
        <f t="shared" si="2"/>
        <v>2</v>
      </c>
      <c r="F14" s="124">
        <f t="shared" si="3"/>
        <v>1</v>
      </c>
      <c r="G14" s="27" t="s">
        <v>754</v>
      </c>
      <c r="H14" s="28" t="str">
        <f>CONCATENATE(SUMIF($E$6:$E14,$E14,$K$6:$K$370)," / ",SUMIF($E$6:$E$370,$E14,$K$6:$K378))</f>
        <v>36 / 36</v>
      </c>
      <c r="I14" s="28" t="str">
        <f>CONCATENATE(SUMIF($F$6:$F14,$F14,$K$6:$K378)," / ",SUMIF($F$6:$F$370,$F14,$K$6:$K378))</f>
        <v>46 / 97,7</v>
      </c>
      <c r="J14" s="28" t="str">
        <f>CONCATENATE(SUM($K$6:$K14)," / ",SUM($K$6:$K$370))</f>
        <v>46 / 180,895</v>
      </c>
      <c r="K14" s="245">
        <v>18</v>
      </c>
      <c r="L14" s="28" t="s">
        <v>576</v>
      </c>
      <c r="M14" s="28" t="str">
        <f>CONCATENATE(SUMIF($E$6:$E14,$E14,$P$6:$P$370)," / ",SUMIF($E$6:$E$370,$E14,$P$6:$P$370))</f>
        <v>30 / 30</v>
      </c>
      <c r="N14" s="28" t="str">
        <f ca="1">CONCATENATE(SUMIF($F$6:$F14,$F14,$P14)," / ",SUMIF($F$6:$F$370,$F14,$P$6:$P$370))</f>
        <v>0 / 30</v>
      </c>
      <c r="O14" s="28" t="str">
        <f t="shared" si="4"/>
        <v>0 / 30</v>
      </c>
      <c r="P14" s="245">
        <v>0</v>
      </c>
      <c r="Q14" s="28"/>
      <c r="R14" s="246">
        <v>0</v>
      </c>
      <c r="S14" s="28" t="str">
        <f>CONCATENATE(SUMIF($E$6:$E14,E14,$R$6:$R$370)," / ",SUMIF($E$6:$E$370,E14,$R$6:$R$370))</f>
        <v>0 / 0</v>
      </c>
      <c r="T14" s="28" t="str">
        <f>CONCATENATE(SUMIF($F$6:$F14,$F14,$R$6:$R$370)," / ",SUMIF($F$6:$F$370,$F14,$R$6:$R$370))</f>
        <v>0 / 0</v>
      </c>
      <c r="U14" s="28" t="str">
        <f>CONCATENATE(SUM($R$6:$R14)," / ",SUM($R$6:$R$370))</f>
        <v>0 / 0</v>
      </c>
      <c r="X14" s="3">
        <f t="shared" ca="1" si="7"/>
        <v>51.7</v>
      </c>
    </row>
    <row r="15" spans="2:24" ht="13" thickBot="1">
      <c r="B15" s="28"/>
      <c r="C15" s="237">
        <f t="shared" si="5"/>
        <v>42379</v>
      </c>
      <c r="D15" s="35" t="str">
        <f t="shared" si="6"/>
        <v>Dimanche</v>
      </c>
      <c r="E15" s="124">
        <f t="shared" si="2"/>
        <v>3</v>
      </c>
      <c r="F15" s="124">
        <f t="shared" si="3"/>
        <v>1</v>
      </c>
      <c r="G15" s="27"/>
      <c r="H15" s="28" t="str">
        <f>CONCATENATE(SUMIF($E$6:$E15,$E15,$K$6:$K$370)," / ",SUMIF($E$6:$E$370,$E15,$K$6:$K379))</f>
        <v>0 / 33,7</v>
      </c>
      <c r="I15" s="28" t="str">
        <f>CONCATENATE(SUMIF($F$6:$F15,$F15,$K$6:$K379)," / ",SUMIF($F$6:$F$370,$F15,$K$6:$K379))</f>
        <v>46 / 97,7</v>
      </c>
      <c r="J15" s="28" t="str">
        <f>CONCATENATE(SUM($K$6:$K15)," / ",SUM($K$6:$K$370))</f>
        <v>46 / 180,895</v>
      </c>
      <c r="K15" s="245">
        <v>0</v>
      </c>
      <c r="L15" s="28"/>
      <c r="M15" s="28" t="str">
        <f>CONCATENATE(SUMIF($E$6:$E15,$E15,$P$6:$P$370)," / ",SUMIF($E$6:$E$370,$E15,$P$6:$P$370))</f>
        <v>0 / 0</v>
      </c>
      <c r="N15" s="28" t="str">
        <f ca="1">CONCATENATE(SUMIF($F$6:$F15,$F15,$P15)," / ",SUMIF($F$6:$F$370,$F15,$P$6:$P$370))</f>
        <v>0 / 30</v>
      </c>
      <c r="O15" s="28" t="str">
        <f t="shared" si="4"/>
        <v>0 / 30</v>
      </c>
      <c r="P15" s="245">
        <v>0</v>
      </c>
      <c r="Q15" s="28"/>
      <c r="R15" s="246">
        <v>0</v>
      </c>
      <c r="S15" s="28" t="str">
        <f>CONCATENATE(SUMIF($E$6:$E15,E15,$R$6:$R$370)," / ",SUMIF($E$6:$E$370,E15,$R$6:$R$370))</f>
        <v>0 / 0</v>
      </c>
      <c r="T15" s="28" t="str">
        <f>CONCATENATE(SUMIF($F$6:$F15,$F15,$R$6:$R$370)," / ",SUMIF($F$6:$F$370,$F15,$R$6:$R$370))</f>
        <v>0 / 0</v>
      </c>
      <c r="U15" s="28" t="str">
        <f>CONCATENATE(SUM($R$6:$R15)," / ",SUM($R$6:$R$370))</f>
        <v>0 / 0</v>
      </c>
      <c r="X15" s="3">
        <f t="shared" ca="1" si="7"/>
        <v>0</v>
      </c>
    </row>
    <row r="16" spans="2:24" ht="13" thickBot="1">
      <c r="B16" s="28"/>
      <c r="C16" s="237">
        <f t="shared" si="5"/>
        <v>42380</v>
      </c>
      <c r="D16" s="35" t="str">
        <f t="shared" si="6"/>
        <v>Lundi</v>
      </c>
      <c r="E16" s="124">
        <f t="shared" si="2"/>
        <v>3</v>
      </c>
      <c r="F16" s="124">
        <f t="shared" si="3"/>
        <v>1</v>
      </c>
      <c r="G16" s="27"/>
      <c r="H16" s="28" t="str">
        <f>CONCATENATE(SUMIF($E$6:$E16,$E16,$K$6:$K$370)," / ",SUMIF($E$6:$E$370,$E16,$K$6:$K380))</f>
        <v>0 / 33,7</v>
      </c>
      <c r="I16" s="28" t="str">
        <f>CONCATENATE(SUMIF($F$6:$F16,$F16,$K$6:$K380)," / ",SUMIF($F$6:$F$370,$F16,$K$6:$K380))</f>
        <v>46 / 97,7</v>
      </c>
      <c r="J16" s="28" t="str">
        <f>CONCATENATE(SUM($K$6:$K16)," / ",SUM($K$6:$K$370))</f>
        <v>46 / 180,895</v>
      </c>
      <c r="K16" s="245">
        <v>0</v>
      </c>
      <c r="L16" s="28"/>
      <c r="M16" s="28" t="str">
        <f>CONCATENATE(SUMIF($E$6:$E16,$E16,$P$6:$P$370)," / ",SUMIF($E$6:$E$370,$E16,$P$6:$P$370))</f>
        <v>0 / 0</v>
      </c>
      <c r="N16" s="28" t="str">
        <f ca="1">CONCATENATE(SUMIF($F$6:$F16,$F16,$P16)," / ",SUMIF($F$6:$F$370,$F16,$P$6:$P$370))</f>
        <v>0 / 30</v>
      </c>
      <c r="O16" s="28" t="str">
        <f t="shared" si="4"/>
        <v>0 / 30</v>
      </c>
      <c r="P16" s="245">
        <v>0</v>
      </c>
      <c r="Q16" s="28"/>
      <c r="R16" s="246">
        <v>0</v>
      </c>
      <c r="S16" s="28" t="str">
        <f>CONCATENATE(SUMIF($E$6:$E16,E16,$R$6:$R$370)," / ",SUMIF($E$6:$E$370,E16,$R$6:$R$370))</f>
        <v>0 / 0</v>
      </c>
      <c r="T16" s="28" t="str">
        <f>CONCATENATE(SUMIF($F$6:$F16,$F16,$R$6:$R$370)," / ",SUMIF($F$6:$F$370,$F16,$R$6:$R$370))</f>
        <v>0 / 0</v>
      </c>
      <c r="U16" s="28" t="str">
        <f>CONCATENATE(SUM($R$6:$R16)," / ",SUM($R$6:$R$370))</f>
        <v>0 / 0</v>
      </c>
      <c r="X16" s="3">
        <f t="shared" ca="1" si="7"/>
        <v>0</v>
      </c>
    </row>
    <row r="17" spans="2:24" ht="13" thickBot="1">
      <c r="B17" s="28"/>
      <c r="C17" s="237">
        <f t="shared" si="5"/>
        <v>42381</v>
      </c>
      <c r="D17" s="35" t="str">
        <f t="shared" si="6"/>
        <v>Mardi</v>
      </c>
      <c r="E17" s="124">
        <f t="shared" si="2"/>
        <v>3</v>
      </c>
      <c r="F17" s="124">
        <f t="shared" si="3"/>
        <v>1</v>
      </c>
      <c r="G17" s="27" t="s">
        <v>753</v>
      </c>
      <c r="H17" s="28" t="str">
        <f>CONCATENATE(SUMIF($E$6:$E17,$E17,$K$6:$K$370)," / ",SUMIF($E$6:$E$370,$E17,$K$6:$K381))</f>
        <v>9 / 33,7</v>
      </c>
      <c r="I17" s="28" t="str">
        <f>CONCATENATE(SUMIF($F$6:$F17,$F17,$K$6:$K381)," / ",SUMIF($F$6:$F$370,$F17,$K$6:$K381))</f>
        <v>55 / 97,7</v>
      </c>
      <c r="J17" s="28" t="str">
        <f>CONCATENATE(SUM($K$6:$K17)," / ",SUM($K$6:$K$370))</f>
        <v>55 / 180,895</v>
      </c>
      <c r="K17" s="245">
        <v>9</v>
      </c>
      <c r="L17" s="28" t="s">
        <v>576</v>
      </c>
      <c r="M17" s="28" t="str">
        <f>CONCATENATE(SUMIF($E$6:$E17,$E17,$P$6:$P$370)," / ",SUMIF($E$6:$E$370,$E17,$P$6:$P$370))</f>
        <v>0 / 0</v>
      </c>
      <c r="N17" s="28" t="str">
        <f ca="1">CONCATENATE(SUMIF($F$6:$F17,$F17,$P17)," / ",SUMIF($F$6:$F$370,$F17,$P$6:$P$370))</f>
        <v>0 / 30</v>
      </c>
      <c r="O17" s="28" t="str">
        <f t="shared" si="4"/>
        <v>0 / 30</v>
      </c>
      <c r="P17" s="245">
        <v>0</v>
      </c>
      <c r="Q17" s="28"/>
      <c r="R17" s="246">
        <v>0</v>
      </c>
      <c r="S17" s="28" t="str">
        <f>CONCATENATE(SUMIF($E$6:$E17,E17,$R$6:$R$370)," / ",SUMIF($E$6:$E$370,E17,$R$6:$R$370))</f>
        <v>0 / 0</v>
      </c>
      <c r="T17" s="28" t="str">
        <f>CONCATENATE(SUMIF($F$6:$F17,$F17,$R$6:$R$370)," / ",SUMIF($F$6:$F$370,$F17,$R$6:$R$370))</f>
        <v>0 / 0</v>
      </c>
      <c r="U17" s="28" t="str">
        <f>CONCATENATE(SUM($R$6:$R17)," / ",SUM($R$6:$R$370))</f>
        <v>0 / 0</v>
      </c>
      <c r="X17" s="3">
        <f t="shared" ca="1" si="7"/>
        <v>0</v>
      </c>
    </row>
    <row r="18" spans="2:24" ht="13" thickBot="1">
      <c r="B18" s="28"/>
      <c r="C18" s="237">
        <f t="shared" si="5"/>
        <v>42382</v>
      </c>
      <c r="D18" s="35" t="str">
        <f t="shared" si="6"/>
        <v>Mercredi</v>
      </c>
      <c r="E18" s="124">
        <f t="shared" si="2"/>
        <v>3</v>
      </c>
      <c r="F18" s="124">
        <f t="shared" si="3"/>
        <v>1</v>
      </c>
      <c r="G18" s="27"/>
      <c r="H18" s="28" t="str">
        <f>CONCATENATE(SUMIF($E$6:$E18,$E18,$K$6:$K$370)," / ",SUMIF($E$6:$E$370,$E18,$K$6:$K382))</f>
        <v>9 / 33,7</v>
      </c>
      <c r="I18" s="28" t="str">
        <f>CONCATENATE(SUMIF($F$6:$F18,$F18,$K$6:$K382)," / ",SUMIF($F$6:$F$370,$F18,$K$6:$K382))</f>
        <v>55 / 97,7</v>
      </c>
      <c r="J18" s="28" t="str">
        <f>CONCATENATE(SUM($K$6:$K18)," / ",SUM($K$6:$K$370))</f>
        <v>55 / 180,895</v>
      </c>
      <c r="K18" s="245">
        <v>0</v>
      </c>
      <c r="L18" s="28"/>
      <c r="M18" s="28" t="str">
        <f>CONCATENATE(SUMIF($E$6:$E18,$E18,$P$6:$P$370)," / ",SUMIF($E$6:$E$370,$E18,$P$6:$P$370))</f>
        <v>0 / 0</v>
      </c>
      <c r="N18" s="28" t="str">
        <f ca="1">CONCATENATE(SUMIF($F$6:$F18,$F18,$P18)," / ",SUMIF($F$6:$F$370,$F18,$P$6:$P$370))</f>
        <v>0 / 30</v>
      </c>
      <c r="O18" s="28" t="str">
        <f t="shared" si="4"/>
        <v>0 / 30</v>
      </c>
      <c r="P18" s="245">
        <v>0</v>
      </c>
      <c r="Q18" s="28"/>
      <c r="R18" s="246">
        <v>0</v>
      </c>
      <c r="S18" s="28" t="str">
        <f>CONCATENATE(SUMIF($E$6:$E18,E18,$R$6:$R$370)," / ",SUMIF($E$6:$E$370,E18,$R$6:$R$370))</f>
        <v>0 / 0</v>
      </c>
      <c r="T18" s="28" t="str">
        <f>CONCATENATE(SUMIF($F$6:$F18,$F18,$R$6:$R$370)," / ",SUMIF($F$6:$F$370,$F18,$R$6:$R$370))</f>
        <v>0 / 0</v>
      </c>
      <c r="U18" s="28" t="str">
        <f>CONCATENATE(SUM($R$6:$R18)," / ",SUM($R$6:$R$370))</f>
        <v>0 / 0</v>
      </c>
      <c r="X18" s="3">
        <f t="shared" ca="1" si="7"/>
        <v>0</v>
      </c>
    </row>
    <row r="19" spans="2:24" ht="13" thickBot="1">
      <c r="B19" s="28"/>
      <c r="C19" s="237">
        <f t="shared" si="5"/>
        <v>42383</v>
      </c>
      <c r="D19" s="35" t="str">
        <f t="shared" si="6"/>
        <v>Jeudi</v>
      </c>
      <c r="E19" s="124">
        <f t="shared" si="2"/>
        <v>3</v>
      </c>
      <c r="F19" s="124">
        <f t="shared" si="3"/>
        <v>1</v>
      </c>
      <c r="G19" s="27" t="s">
        <v>752</v>
      </c>
      <c r="H19" s="28" t="str">
        <f>CONCATENATE(SUMIF($E$6:$E19,$E19,$K$6:$K$370)," / ",SUMIF($E$6:$E$370,$E19,$K$6:$K383))</f>
        <v>21,7 / 33,7</v>
      </c>
      <c r="I19" s="28" t="str">
        <f>CONCATENATE(SUMIF($F$6:$F19,$F19,$K$6:$K383)," / ",SUMIF($F$6:$F$370,$F19,$K$6:$K383))</f>
        <v>67,7 / 97,7</v>
      </c>
      <c r="J19" s="28" t="str">
        <f>CONCATENATE(SUM($K$6:$K19)," / ",SUM($K$6:$K$370))</f>
        <v>67,7 / 180,895</v>
      </c>
      <c r="K19" s="245">
        <v>12.7</v>
      </c>
      <c r="L19" s="28" t="s">
        <v>576</v>
      </c>
      <c r="M19" s="28" t="str">
        <f>CONCATENATE(SUMIF($E$6:$E19,$E19,$P$6:$P$370)," / ",SUMIF($E$6:$E$370,$E19,$P$6:$P$370))</f>
        <v>0 / 0</v>
      </c>
      <c r="N19" s="28" t="str">
        <f ca="1">CONCATENATE(SUMIF($F$6:$F19,$F19,$P19)," / ",SUMIF($F$6:$F$370,$F19,$P$6:$P$370))</f>
        <v>0 / 30</v>
      </c>
      <c r="O19" s="28" t="str">
        <f t="shared" si="4"/>
        <v>0 / 30</v>
      </c>
      <c r="P19" s="245">
        <v>0</v>
      </c>
      <c r="Q19" s="28"/>
      <c r="R19" s="246">
        <v>0</v>
      </c>
      <c r="S19" s="28" t="str">
        <f>CONCATENATE(SUMIF($E$6:$E19,E19,$R$6:$R$370)," / ",SUMIF($E$6:$E$370,E19,$R$6:$R$370))</f>
        <v>0 / 0</v>
      </c>
      <c r="T19" s="28" t="str">
        <f>CONCATENATE(SUMIF($F$6:$F19,$F19,$R$6:$R$370)," / ",SUMIF($F$6:$F$370,$F19,$R$6:$R$370))</f>
        <v>0 / 0</v>
      </c>
      <c r="U19" s="28" t="str">
        <f>CONCATENATE(SUM($R$6:$R19)," / ",SUM($R$6:$R$370))</f>
        <v>0 / 0</v>
      </c>
      <c r="X19" s="3">
        <f t="shared" ca="1" si="7"/>
        <v>0</v>
      </c>
    </row>
    <row r="20" spans="2:24" ht="13" thickBot="1">
      <c r="B20" s="28"/>
      <c r="C20" s="237">
        <f t="shared" si="5"/>
        <v>42384</v>
      </c>
      <c r="D20" s="35" t="str">
        <f t="shared" si="6"/>
        <v>Vendredi</v>
      </c>
      <c r="E20" s="124">
        <f t="shared" si="2"/>
        <v>3</v>
      </c>
      <c r="F20" s="124">
        <f t="shared" si="3"/>
        <v>1</v>
      </c>
      <c r="G20" s="27"/>
      <c r="H20" s="28" t="str">
        <f>CONCATENATE(SUMIF($E$6:$E20,$E20,$K$6:$K$370)," / ",SUMIF($E$6:$E$370,$E20,$K$6:$K384))</f>
        <v>21,7 / 33,7</v>
      </c>
      <c r="I20" s="28" t="str">
        <f>CONCATENATE(SUMIF($F$6:$F20,$F20,$K$6:$K384)," / ",SUMIF($F$6:$F$370,$F20,$K$6:$K384))</f>
        <v>67,7 / 97,7</v>
      </c>
      <c r="J20" s="28" t="str">
        <f>CONCATENATE(SUM($K$6:$K20)," / ",SUM($K$6:$K$370))</f>
        <v>67,7 / 180,895</v>
      </c>
      <c r="K20" s="245">
        <v>0</v>
      </c>
      <c r="L20" s="28"/>
      <c r="M20" s="28" t="str">
        <f>CONCATENATE(SUMIF($E$6:$E20,$E20,$P$6:$P$370)," / ",SUMIF($E$6:$E$370,$E20,$P$6:$P$370))</f>
        <v>0 / 0</v>
      </c>
      <c r="N20" s="28" t="str">
        <f ca="1">CONCATENATE(SUMIF($F$6:$F20,$F20,$P20)," / ",SUMIF($F$6:$F$370,$F20,$P$6:$P$370))</f>
        <v>0 / 30</v>
      </c>
      <c r="O20" s="28" t="str">
        <f t="shared" si="4"/>
        <v>0 / 30</v>
      </c>
      <c r="P20" s="245">
        <v>0</v>
      </c>
      <c r="Q20" s="28"/>
      <c r="R20" s="246">
        <v>0</v>
      </c>
      <c r="S20" s="28" t="str">
        <f>CONCATENATE(SUMIF($E$6:$E20,E20,$R$6:$R$370)," / ",SUMIF($E$6:$E$370,E20,$R$6:$R$370))</f>
        <v>0 / 0</v>
      </c>
      <c r="T20" s="28" t="str">
        <f>CONCATENATE(SUMIF($F$6:$F20,$F20,$R$6:$R$370)," / ",SUMIF($F$6:$F$370,$F20,$R$6:$R$370))</f>
        <v>0 / 0</v>
      </c>
      <c r="U20" s="28" t="str">
        <f>CONCATENATE(SUM($R$6:$R20)," / ",SUM($R$6:$R$370))</f>
        <v>0 / 0</v>
      </c>
      <c r="X20" s="3">
        <f t="shared" ca="1" si="7"/>
        <v>0</v>
      </c>
    </row>
    <row r="21" spans="2:24" ht="13" thickBot="1">
      <c r="B21" s="4"/>
      <c r="C21" s="237">
        <f t="shared" si="5"/>
        <v>42385</v>
      </c>
      <c r="D21" s="35" t="str">
        <f t="shared" si="6"/>
        <v>samedi</v>
      </c>
      <c r="E21" s="124">
        <f t="shared" si="2"/>
        <v>3</v>
      </c>
      <c r="F21" s="124">
        <f t="shared" si="3"/>
        <v>1</v>
      </c>
      <c r="G21" s="27" t="s">
        <v>751</v>
      </c>
      <c r="H21" s="28" t="str">
        <f>CONCATENATE(SUMIF($E$6:$E21,$E21,$K$6:$K$370)," / ",SUMIF($E$6:$E$370,$E21,$K$6:$K385))</f>
        <v>33,7 / 33,7</v>
      </c>
      <c r="I21" s="28" t="str">
        <f>CONCATENATE(SUMIF($F$6:$F21,$F21,$K$6:$K385)," / ",SUMIF($F$6:$F$370,$F21,$K$6:$K385))</f>
        <v>79,7 / 97,7</v>
      </c>
      <c r="J21" s="28" t="str">
        <f>CONCATENATE(SUM($K$6:$K21)," / ",SUM($K$6:$K$370))</f>
        <v>79,7 / 180,895</v>
      </c>
      <c r="K21" s="245">
        <v>12</v>
      </c>
      <c r="L21" s="28" t="s">
        <v>576</v>
      </c>
      <c r="M21" s="28" t="str">
        <f>CONCATENATE(SUMIF($E$6:$E21,$E21,$P$6:$P$370)," / ",SUMIF($E$6:$E$370,$E21,$P$6:$P$370))</f>
        <v>0 / 0</v>
      </c>
      <c r="N21" s="28" t="str">
        <f ca="1">CONCATENATE(SUMIF($F$6:$F21,$F21,$P21)," / ",SUMIF($F$6:$F$370,$F21,$P$6:$P$370))</f>
        <v>0 / 30</v>
      </c>
      <c r="O21" s="28" t="str">
        <f t="shared" si="4"/>
        <v>0 / 30</v>
      </c>
      <c r="P21" s="245">
        <v>0</v>
      </c>
      <c r="Q21" s="28"/>
      <c r="R21" s="246">
        <v>0</v>
      </c>
      <c r="S21" s="28" t="str">
        <f>CONCATENATE(SUMIF($E$6:$E21,E21,$R$6:$R$370)," / ",SUMIF($E$6:$E$370,E21,$R$6:$R$370))</f>
        <v>0 / 0</v>
      </c>
      <c r="T21" s="28" t="str">
        <f>CONCATENATE(SUMIF($F$6:$F21,$F21,$R$6:$R$370)," / ",SUMIF($F$6:$F$370,$F21,$R$6:$R$370))</f>
        <v>0 / 0</v>
      </c>
      <c r="U21" s="28" t="str">
        <f>CONCATENATE(SUM($R$6:$R21)," / ",SUM($R$6:$R$370))</f>
        <v>0 / 0</v>
      </c>
      <c r="X21" s="3">
        <f t="shared" ca="1" si="7"/>
        <v>0</v>
      </c>
    </row>
    <row r="22" spans="2:24" ht="13" thickBot="1">
      <c r="B22" s="28"/>
      <c r="C22" s="237">
        <f t="shared" si="5"/>
        <v>42386</v>
      </c>
      <c r="D22" s="35" t="str">
        <f t="shared" si="6"/>
        <v>Dimanche</v>
      </c>
      <c r="E22" s="124">
        <f t="shared" si="2"/>
        <v>4</v>
      </c>
      <c r="F22" s="124">
        <f t="shared" si="3"/>
        <v>1</v>
      </c>
      <c r="G22" s="27" t="s">
        <v>755</v>
      </c>
      <c r="H22" s="28" t="str">
        <f>CONCATENATE(SUMIF($E$6:$E22,$E22,$K$6:$K$370)," / ",SUMIF($E$6:$E$370,$E22,$K$6:$K386))</f>
        <v>18 / 18</v>
      </c>
      <c r="I22" s="28" t="str">
        <f>CONCATENATE(SUMIF($F$6:$F22,$F22,$K$6:$K386)," / ",SUMIF($F$6:$F$370,$F22,$K$6:$K386))</f>
        <v>97,7 / 97,7</v>
      </c>
      <c r="J22" s="28" t="str">
        <f>CONCATENATE(SUM($K$6:$K22)," / ",SUM($K$6:$K$370))</f>
        <v>97,7 / 180,895</v>
      </c>
      <c r="K22" s="245">
        <v>18</v>
      </c>
      <c r="L22" s="28" t="s">
        <v>576</v>
      </c>
      <c r="M22" s="28" t="str">
        <f>CONCATENATE(SUMIF($E$6:$E22,$E22,$P$6:$P$370)," / ",SUMIF($E$6:$E$370,$E22,$P$6:$P$370))</f>
        <v>0 / 0</v>
      </c>
      <c r="N22" s="28" t="str">
        <f ca="1">CONCATENATE(SUMIF($F$6:$F22,$F22,$P22)," / ",SUMIF($F$6:$F$370,$F22,$P$6:$P$370))</f>
        <v>0 / 30</v>
      </c>
      <c r="O22" s="28" t="str">
        <f t="shared" si="4"/>
        <v>0 / 30</v>
      </c>
      <c r="P22" s="245">
        <v>0</v>
      </c>
      <c r="Q22" s="28"/>
      <c r="R22" s="246">
        <v>0</v>
      </c>
      <c r="S22" s="28" t="str">
        <f>CONCATENATE(SUMIF($E$6:$E22,E22,$R$6:$R$370)," / ",SUMIF($E$6:$E$370,E22,$R$6:$R$370))</f>
        <v>0 / 0</v>
      </c>
      <c r="T22" s="28" t="str">
        <f>CONCATENATE(SUMIF($F$6:$F22,$F22,$R$6:$R$370)," / ",SUMIF($F$6:$F$370,$F22,$R$6:$R$370))</f>
        <v>0 / 0</v>
      </c>
      <c r="U22" s="28" t="str">
        <f>CONCATENATE(SUM($R$6:$R22)," / ",SUM($R$6:$R$370))</f>
        <v>0 / 0</v>
      </c>
      <c r="X22" s="3">
        <f t="shared" ca="1" si="7"/>
        <v>15</v>
      </c>
    </row>
    <row r="23" spans="2:24" ht="13" thickBot="1">
      <c r="B23" s="28"/>
      <c r="C23" s="237">
        <f t="shared" si="5"/>
        <v>42387</v>
      </c>
      <c r="D23" s="35" t="str">
        <f t="shared" si="6"/>
        <v>Lundi</v>
      </c>
      <c r="E23" s="124">
        <f t="shared" si="2"/>
        <v>4</v>
      </c>
      <c r="F23" s="124">
        <f t="shared" si="3"/>
        <v>1</v>
      </c>
      <c r="G23" s="27"/>
      <c r="H23" s="28" t="str">
        <f>CONCATENATE(SUMIF($E$6:$E23,$E23,$K$6:$K$370)," / ",SUMIF($E$6:$E$370,$E23,$K$6:$K387))</f>
        <v>18 / 18</v>
      </c>
      <c r="I23" s="28" t="str">
        <f>CONCATENATE(SUMIF($F$6:$F23,$F23,$K$6:$K387)," / ",SUMIF($F$6:$F$370,$F23,$K$6:$K387))</f>
        <v>97,7 / 97,7</v>
      </c>
      <c r="J23" s="28" t="str">
        <f>CONCATENATE(SUM($K$6:$K23)," / ",SUM($K$6:$K$370))</f>
        <v>97,7 / 180,895</v>
      </c>
      <c r="K23" s="245">
        <v>0</v>
      </c>
      <c r="L23" s="28"/>
      <c r="M23" s="28" t="str">
        <f>CONCATENATE(SUMIF($E$6:$E23,$E23,$P$6:$P$370)," / ",SUMIF($E$6:$E$370,$E23,$P$6:$P$370))</f>
        <v>0 / 0</v>
      </c>
      <c r="N23" s="28" t="str">
        <f ca="1">CONCATENATE(SUMIF($F$6:$F23,$F23,$P23)," / ",SUMIF($F$6:$F$370,$F23,$P$6:$P$370))</f>
        <v>0 / 30</v>
      </c>
      <c r="O23" s="28" t="str">
        <f t="shared" si="4"/>
        <v>0 / 30</v>
      </c>
      <c r="P23" s="245">
        <v>0</v>
      </c>
      <c r="Q23" s="28"/>
      <c r="R23" s="246">
        <v>0</v>
      </c>
      <c r="S23" s="28" t="str">
        <f>CONCATENATE(SUMIF($E$6:$E23,E23,$R$6:$R$370)," / ",SUMIF($E$6:$E$370,E23,$R$6:$R$370))</f>
        <v>0 / 0</v>
      </c>
      <c r="T23" s="28" t="str">
        <f>CONCATENATE(SUMIF($F$6:$F23,$F23,$R$6:$R$370)," / ",SUMIF($F$6:$F$370,$F23,$R$6:$R$370))</f>
        <v>0 / 0</v>
      </c>
      <c r="U23" s="28" t="str">
        <f>CONCATENATE(SUM($R$6:$R23)," / ",SUM($R$6:$R$370))</f>
        <v>0 / 0</v>
      </c>
      <c r="X23" s="3">
        <f t="shared" ca="1" si="7"/>
        <v>15</v>
      </c>
    </row>
    <row r="24" spans="2:24" ht="13" thickBot="1">
      <c r="B24" s="28"/>
      <c r="C24" s="237">
        <f t="shared" si="5"/>
        <v>42388</v>
      </c>
      <c r="D24" s="35" t="str">
        <f t="shared" si="6"/>
        <v>Mardi</v>
      </c>
      <c r="E24" s="124">
        <f t="shared" si="2"/>
        <v>4</v>
      </c>
      <c r="F24" s="124">
        <f t="shared" si="3"/>
        <v>1</v>
      </c>
      <c r="G24" s="27"/>
      <c r="H24" s="28" t="str">
        <f>CONCATENATE(SUMIF($E$6:$E24,$E24,$K$6:$K$370)," / ",SUMIF($E$6:$E$370,$E24,$K$6:$K388))</f>
        <v>18 / 18</v>
      </c>
      <c r="I24" s="28" t="str">
        <f>CONCATENATE(SUMIF($F$6:$F24,$F24,$K$6:$K388)," / ",SUMIF($F$6:$F$370,$F24,$K$6:$K388))</f>
        <v>97,7 / 97,7</v>
      </c>
      <c r="J24" s="28" t="str">
        <f>CONCATENATE(SUM($K$6:$K24)," / ",SUM($K$6:$K$370))</f>
        <v>97,7 / 180,895</v>
      </c>
      <c r="K24" s="245">
        <v>0</v>
      </c>
      <c r="L24" s="28"/>
      <c r="M24" s="28" t="str">
        <f>CONCATENATE(SUMIF($E$6:$E24,$E24,$P$6:$P$370)," / ",SUMIF($E$6:$E$370,$E24,$P$6:$P$370))</f>
        <v>0 / 0</v>
      </c>
      <c r="N24" s="28" t="str">
        <f ca="1">CONCATENATE(SUMIF($F$6:$F24,$F24,$P24)," / ",SUMIF($F$6:$F$370,$F24,$P$6:$P$370))</f>
        <v>0 / 30</v>
      </c>
      <c r="O24" s="28" t="str">
        <f t="shared" si="4"/>
        <v>0 / 30</v>
      </c>
      <c r="P24" s="245">
        <v>0</v>
      </c>
      <c r="Q24" s="28"/>
      <c r="R24" s="246">
        <v>0</v>
      </c>
      <c r="S24" s="28" t="str">
        <f>CONCATENATE(SUMIF($E$6:$E24,E24,$R$6:$R$370)," / ",SUMIF($E$6:$E$370,E24,$R$6:$R$370))</f>
        <v>0 / 0</v>
      </c>
      <c r="T24" s="28" t="str">
        <f>CONCATENATE(SUMIF($F$6:$F24,$F24,$R$6:$R$370)," / ",SUMIF($F$6:$F$370,$F24,$R$6:$R$370))</f>
        <v>0 / 0</v>
      </c>
      <c r="U24" s="28" t="str">
        <f>CONCATENATE(SUM($R$6:$R24)," / ",SUM($R$6:$R$370))</f>
        <v>0 / 0</v>
      </c>
      <c r="X24" s="3">
        <f t="shared" ca="1" si="7"/>
        <v>15</v>
      </c>
    </row>
    <row r="25" spans="2:24" ht="13" thickBot="1">
      <c r="B25" s="28"/>
      <c r="C25" s="237">
        <f t="shared" si="5"/>
        <v>42389</v>
      </c>
      <c r="D25" s="35" t="str">
        <f t="shared" si="6"/>
        <v>Mercredi</v>
      </c>
      <c r="E25" s="124">
        <f t="shared" si="2"/>
        <v>4</v>
      </c>
      <c r="F25" s="124">
        <f t="shared" si="3"/>
        <v>1</v>
      </c>
      <c r="G25" s="27" t="s">
        <v>756</v>
      </c>
      <c r="H25" s="28" t="str">
        <f>CONCATENATE(SUMIF($E$6:$E25,$E25,$K$6:$K$370)," / ",SUMIF($E$6:$E$370,$E25,$K$6:$K389))</f>
        <v>18 / 18</v>
      </c>
      <c r="I25" s="28" t="str">
        <f>CONCATENATE(SUMIF($F$6:$F25,$F25,$K$6:$K389)," / ",SUMIF($F$6:$F$370,$F25,$K$6:$K389))</f>
        <v>97,7 / 97,7</v>
      </c>
      <c r="J25" s="28" t="str">
        <f>CONCATENATE(SUM($K$6:$K25)," / ",SUM($K$6:$K$370))</f>
        <v>97,7 / 180,895</v>
      </c>
      <c r="K25" s="245">
        <v>0</v>
      </c>
      <c r="L25" s="28" t="s">
        <v>576</v>
      </c>
      <c r="M25" s="28" t="str">
        <f>CONCATENATE(SUMIF($E$6:$E25,$E25,$P$6:$P$370)," / ",SUMIF($E$6:$E$370,$E25,$P$6:$P$370))</f>
        <v>0 / 0</v>
      </c>
      <c r="N25" s="28" t="str">
        <f ca="1">CONCATENATE(SUMIF($F$6:$F25,$F25,$P25)," / ",SUMIF($F$6:$F$370,$F25,$P$6:$P$370))</f>
        <v>0 / 30</v>
      </c>
      <c r="O25" s="28" t="str">
        <f t="shared" si="4"/>
        <v>0 / 30</v>
      </c>
      <c r="P25" s="245">
        <v>0</v>
      </c>
      <c r="Q25" s="28"/>
      <c r="R25" s="246">
        <v>0</v>
      </c>
      <c r="S25" s="28" t="str">
        <f>CONCATENATE(SUMIF($E$6:$E25,E25,$R$6:$R$370)," / ",SUMIF($E$6:$E$370,E25,$R$6:$R$370))</f>
        <v>0 / 0</v>
      </c>
      <c r="T25" s="28" t="str">
        <f>CONCATENATE(SUMIF($F$6:$F25,$F25,$R$6:$R$370)," / ",SUMIF($F$6:$F$370,$F25,$R$6:$R$370))</f>
        <v>0 / 0</v>
      </c>
      <c r="U25" s="28" t="str">
        <f>CONCATENATE(SUM($R$6:$R25)," / ",SUM($R$6:$R$370))</f>
        <v>0 / 0</v>
      </c>
    </row>
    <row r="26" spans="2:24" ht="13" thickBot="1">
      <c r="B26" s="247"/>
      <c r="C26" s="237">
        <f t="shared" si="5"/>
        <v>42390</v>
      </c>
      <c r="D26" s="35" t="str">
        <f t="shared" si="6"/>
        <v>Jeudi</v>
      </c>
      <c r="E26" s="124">
        <f t="shared" si="2"/>
        <v>4</v>
      </c>
      <c r="F26" s="124">
        <f t="shared" ref="F26" si="8">MONTH(C26)</f>
        <v>1</v>
      </c>
      <c r="G26" s="27"/>
      <c r="H26" s="28" t="str">
        <f>CONCATENATE(SUMIF($E$6:$E26,$E26,$K$6:$K$370)," / ",SUMIF($E$6:$E$370,$E26,$K$6:$K390))</f>
        <v>18 / 18</v>
      </c>
      <c r="I26" s="28" t="str">
        <f>CONCATENATE(SUMIF($F$6:$F26,$F26,$K$6:$K390)," / ",SUMIF($F$6:$F$370,$F26,$K$6:$K390))</f>
        <v>97,7 / 97,7</v>
      </c>
      <c r="J26" s="28" t="str">
        <f>CONCATENATE(SUM($K$6:$K26)," / ",SUM($K$6:$K$370))</f>
        <v>97,7 / 180,895</v>
      </c>
      <c r="K26" s="245">
        <v>0</v>
      </c>
      <c r="L26" s="28"/>
      <c r="M26" s="28" t="str">
        <f>CONCATENATE(SUMIF($E$6:$E26,$E26,$P$6:$P$370)," / ",SUMIF($E$6:$E$370,$E26,$P$6:$P$370))</f>
        <v>0 / 0</v>
      </c>
      <c r="N26" s="28" t="str">
        <f ca="1">CONCATENATE(SUMIF($F$6:$F26,$F26,$P26)," / ",SUMIF($F$6:$F$370,$F26,$P$6:$P$370))</f>
        <v>0 / 30</v>
      </c>
      <c r="O26" s="28" t="str">
        <f t="shared" si="4"/>
        <v>0 / 30</v>
      </c>
      <c r="P26" s="245">
        <v>0</v>
      </c>
      <c r="Q26" s="28"/>
      <c r="R26" s="246">
        <v>0</v>
      </c>
      <c r="S26" s="28" t="str">
        <f>CONCATENATE(SUMIF($E$6:$E26,E26,$R$6:$R$370)," / ",SUMIF($E$6:$E$370,E26,$R$6:$R$370))</f>
        <v>0 / 0</v>
      </c>
      <c r="T26" s="28" t="str">
        <f>CONCATENATE(SUMIF($F$6:$F26,$F26,$R$6:$R$370)," / ",SUMIF($F$6:$F$370,$F26,$R$6:$R$370))</f>
        <v>0 / 0</v>
      </c>
      <c r="U26" s="28" t="str">
        <f>CONCATENATE(SUM($R$6:$R26)," / ",SUM($R$6:$R$370))</f>
        <v>0 / 0</v>
      </c>
    </row>
    <row r="27" spans="2:24" ht="13" thickBot="1">
      <c r="B27" s="28"/>
      <c r="C27" s="237">
        <f t="shared" si="5"/>
        <v>42391</v>
      </c>
      <c r="D27" s="35" t="str">
        <f t="shared" si="6"/>
        <v>Vendredi</v>
      </c>
      <c r="E27" s="124">
        <f t="shared" si="2"/>
        <v>4</v>
      </c>
      <c r="F27" s="124">
        <f t="shared" si="3"/>
        <v>1</v>
      </c>
      <c r="G27" s="27"/>
      <c r="H27" s="28" t="str">
        <f>CONCATENATE(SUMIF($E$6:$E27,$E27,$K$6:$K$370)," / ",SUMIF($E$6:$E$370,$E27,$K$6:$K391))</f>
        <v>18 / 18</v>
      </c>
      <c r="I27" s="28" t="str">
        <f>CONCATENATE(SUMIF($F$6:$F27,$F27,$K$6:$K391)," / ",SUMIF($F$6:$F$370,$F27,$K$6:$K391))</f>
        <v>97,7 / 97,7</v>
      </c>
      <c r="J27" s="28" t="str">
        <f>CONCATENATE(SUM($K$6:$K27)," / ",SUM($K$6:$K$370))</f>
        <v>97,7 / 180,895</v>
      </c>
      <c r="K27" s="245">
        <v>0</v>
      </c>
      <c r="L27" s="28"/>
      <c r="M27" s="28" t="str">
        <f>CONCATENATE(SUMIF($E$6:$E27,$E27,$P$6:$P$370)," / ",SUMIF($E$6:$E$370,$E27,$P$6:$P$370))</f>
        <v>0 / 0</v>
      </c>
      <c r="N27" s="28" t="str">
        <f ca="1">CONCATENATE(SUMIF($F$6:$F27,$F27,$P27)," / ",SUMIF($F$6:$F$370,$F27,$P$6:$P$370))</f>
        <v>0 / 30</v>
      </c>
      <c r="O27" s="28" t="str">
        <f t="shared" si="4"/>
        <v>0 / 30</v>
      </c>
      <c r="P27" s="245">
        <v>0</v>
      </c>
      <c r="Q27" s="28"/>
      <c r="R27" s="246">
        <v>0</v>
      </c>
      <c r="S27" s="28" t="str">
        <f>CONCATENATE(SUMIF($E$6:$E27,E27,$R$6:$R$370)," / ",SUMIF($E$6:$E$370,E27,$R$6:$R$370))</f>
        <v>0 / 0</v>
      </c>
      <c r="T27" s="28" t="str">
        <f>CONCATENATE(SUMIF($F$6:$F27,$F27,$R$6:$R$370)," / ",SUMIF($F$6:$F$370,$F27,$R$6:$R$370))</f>
        <v>0 / 0</v>
      </c>
      <c r="U27" s="28" t="str">
        <f>CONCATENATE(SUM($R$6:$R27)," / ",SUM($R$6:$R$370))</f>
        <v>0 / 0</v>
      </c>
    </row>
    <row r="28" spans="2:24" ht="13" thickBot="1">
      <c r="B28" s="247" t="s">
        <v>394</v>
      </c>
      <c r="C28" s="237">
        <f t="shared" si="5"/>
        <v>42392</v>
      </c>
      <c r="D28" s="35" t="str">
        <f t="shared" si="6"/>
        <v>samedi</v>
      </c>
      <c r="E28" s="124">
        <f t="shared" si="2"/>
        <v>4</v>
      </c>
      <c r="F28" s="124">
        <f t="shared" si="3"/>
        <v>1</v>
      </c>
      <c r="G28" s="27" t="s">
        <v>599</v>
      </c>
      <c r="H28" s="28" t="str">
        <f>CONCATENATE(SUMIF($E$6:$E28,$E28,$K$6:$K$370)," / ",SUMIF($E$6:$E$370,$E28,$K$6:$K392))</f>
        <v>18 / 18</v>
      </c>
      <c r="I28" s="28" t="str">
        <f>CONCATENATE(SUMIF($F$6:$F28,$F28,$K$6:$K392)," / ",SUMIF($F$6:$F$370,$F28,$K$6:$K392))</f>
        <v>97,7 / 97,7</v>
      </c>
      <c r="J28" s="28" t="str">
        <f>CONCATENATE(SUM($K$6:$K28)," / ",SUM($K$6:$K$370))</f>
        <v>97,7 / 180,895</v>
      </c>
      <c r="K28" s="245">
        <v>0</v>
      </c>
      <c r="L28" s="28"/>
      <c r="M28" s="28" t="str">
        <f>CONCATENATE(SUMIF($E$6:$E28,$E28,$P$6:$P$370)," / ",SUMIF($E$6:$E$370,$E28,$P$6:$P$370))</f>
        <v>0 / 0</v>
      </c>
      <c r="N28" s="28" t="str">
        <f ca="1">CONCATENATE(SUMIF($F$6:$F28,$F28,$P28)," / ",SUMIF($F$6:$F$370,$F28,$P$6:$P$370))</f>
        <v>0 / 30</v>
      </c>
      <c r="O28" s="28" t="str">
        <f t="shared" si="4"/>
        <v>0 / 30</v>
      </c>
      <c r="P28" s="245">
        <v>0</v>
      </c>
      <c r="Q28" s="28"/>
      <c r="R28" s="246">
        <v>0</v>
      </c>
      <c r="S28" s="28" t="str">
        <f>CONCATENATE(SUMIF($E$6:$E28,E28,$R$6:$R$370)," / ",SUMIF($E$6:$E$370,E28,$R$6:$R$370))</f>
        <v>0 / 0</v>
      </c>
      <c r="T28" s="28" t="str">
        <f>CONCATENATE(SUMIF($F$6:$F28,$F28,$R$6:$R$370)," / ",SUMIF($F$6:$F$370,$F28,$R$6:$R$370))</f>
        <v>0 / 0</v>
      </c>
      <c r="U28" s="28" t="str">
        <f>CONCATENATE(SUM($R$6:$R28)," / ",SUM($R$6:$R$370))</f>
        <v>0 / 0</v>
      </c>
    </row>
    <row r="29" spans="2:24" ht="13" thickBot="1">
      <c r="B29" s="28"/>
      <c r="C29" s="237">
        <f t="shared" si="5"/>
        <v>42393</v>
      </c>
      <c r="D29" s="35" t="str">
        <f t="shared" si="6"/>
        <v>Dimanche</v>
      </c>
      <c r="E29" s="124">
        <f t="shared" si="2"/>
        <v>5</v>
      </c>
      <c r="F29" s="124">
        <f t="shared" si="3"/>
        <v>1</v>
      </c>
      <c r="G29" s="27" t="s">
        <v>636</v>
      </c>
      <c r="H29" s="28" t="str">
        <f>CONCATENATE(SUMIF($E$6:$E29,$E29,$K$6:$K$370)," / ",SUMIF($E$6:$E$370,$E29,$K$6:$K393))</f>
        <v>0 / 0</v>
      </c>
      <c r="I29" s="28" t="str">
        <f>CONCATENATE(SUMIF($F$6:$F29,$F29,$K$6:$K393)," / ",SUMIF($F$6:$F$370,$F29,$K$6:$K393))</f>
        <v>97,7 / 97,7</v>
      </c>
      <c r="J29" s="28" t="str">
        <f>CONCATENATE(SUM($K$6:$K29)," / ",SUM($K$6:$K$370))</f>
        <v>97,7 / 180,895</v>
      </c>
      <c r="K29" s="245">
        <v>0</v>
      </c>
      <c r="L29" s="28"/>
      <c r="M29" s="28" t="str">
        <f>CONCATENATE(SUMIF($E$6:$E29,$E29,$P$6:$P$370)," / ",SUMIF($E$6:$E$370,$E29,$P$6:$P$370))</f>
        <v>0 / 0</v>
      </c>
      <c r="N29" s="28" t="str">
        <f ca="1">CONCATENATE(SUMIF($F$6:$F29,$F29,$P29)," / ",SUMIF($F$6:$F$370,$F29,$P$6:$P$370))</f>
        <v>0 / 30</v>
      </c>
      <c r="O29" s="28" t="str">
        <f t="shared" si="4"/>
        <v>0 / 30</v>
      </c>
      <c r="P29" s="245">
        <v>0</v>
      </c>
      <c r="Q29" s="28"/>
      <c r="R29" s="246">
        <v>0</v>
      </c>
      <c r="S29" s="28" t="str">
        <f>CONCATENATE(SUMIF($E$6:$E29,E29,$R$6:$R$370)," / ",SUMIF($E$6:$E$370,E29,$R$6:$R$370))</f>
        <v>0 / 0</v>
      </c>
      <c r="T29" s="28" t="str">
        <f>CONCATENATE(SUMIF($F$6:$F29,$F29,$R$6:$R$370)," / ",SUMIF($F$6:$F$370,$F29,$R$6:$R$370))</f>
        <v>0 / 0</v>
      </c>
      <c r="U29" s="28" t="str">
        <f>CONCATENATE(SUM($R$6:$R29)," / ",SUM($R$6:$R$370))</f>
        <v>0 / 0</v>
      </c>
    </row>
    <row r="30" spans="2:24" ht="13" thickBot="1">
      <c r="B30" s="28"/>
      <c r="C30" s="237">
        <f t="shared" si="5"/>
        <v>42394</v>
      </c>
      <c r="D30" s="35" t="str">
        <f t="shared" si="6"/>
        <v>Lundi</v>
      </c>
      <c r="E30" s="124">
        <f t="shared" si="2"/>
        <v>5</v>
      </c>
      <c r="F30" s="124">
        <f t="shared" si="3"/>
        <v>1</v>
      </c>
      <c r="G30" s="27"/>
      <c r="H30" s="28" t="str">
        <f>CONCATENATE(SUMIF($E$6:$E30,$E30,$K$6:$K$370)," / ",SUMIF($E$6:$E$370,$E30,$K$6:$K394))</f>
        <v>0 / 0</v>
      </c>
      <c r="I30" s="28" t="str">
        <f>CONCATENATE(SUMIF($F$6:$F30,$F30,$K$6:$K394)," / ",SUMIF($F$6:$F$370,$F30,$K$6:$K394))</f>
        <v>97,7 / 97,7</v>
      </c>
      <c r="J30" s="28" t="str">
        <f>CONCATENATE(SUM($K$6:$K30)," / ",SUM($K$6:$K$370))</f>
        <v>97,7 / 180,895</v>
      </c>
      <c r="K30" s="245">
        <v>0</v>
      </c>
      <c r="L30" s="28"/>
      <c r="M30" s="28" t="str">
        <f>CONCATENATE(SUMIF($E$6:$E30,$E30,$P$6:$P$370)," / ",SUMIF($E$6:$E$370,$E30,$P$6:$P$370))</f>
        <v>0 / 0</v>
      </c>
      <c r="N30" s="28" t="str">
        <f ca="1">CONCATENATE(SUMIF($F$6:$F30,$F30,$P30)," / ",SUMIF($F$6:$F$370,$F30,$P$6:$P$370))</f>
        <v>0 / 30</v>
      </c>
      <c r="O30" s="28" t="str">
        <f t="shared" si="4"/>
        <v>0 / 30</v>
      </c>
      <c r="P30" s="245">
        <v>0</v>
      </c>
      <c r="Q30" s="28"/>
      <c r="R30" s="246">
        <v>0</v>
      </c>
      <c r="S30" s="28" t="str">
        <f>CONCATENATE(SUMIF($E$6:$E30,E30,$R$6:$R$370)," / ",SUMIF($E$6:$E$370,E30,$R$6:$R$370))</f>
        <v>0 / 0</v>
      </c>
      <c r="T30" s="28" t="str">
        <f>CONCATENATE(SUMIF($F$6:$F30,$F30,$R$6:$R$370)," / ",SUMIF($F$6:$F$370,$F30,$R$6:$R$370))</f>
        <v>0 / 0</v>
      </c>
      <c r="U30" s="28" t="str">
        <f>CONCATENATE(SUM($R$6:$R30)," / ",SUM($R$6:$R$370))</f>
        <v>0 / 0</v>
      </c>
    </row>
    <row r="31" spans="2:24" ht="13" thickBot="1">
      <c r="B31" s="28"/>
      <c r="C31" s="237">
        <f t="shared" si="5"/>
        <v>42395</v>
      </c>
      <c r="D31" s="35" t="str">
        <f t="shared" si="6"/>
        <v>Mardi</v>
      </c>
      <c r="E31" s="124">
        <f t="shared" si="2"/>
        <v>5</v>
      </c>
      <c r="F31" s="124">
        <f t="shared" si="3"/>
        <v>1</v>
      </c>
      <c r="G31" s="27"/>
      <c r="H31" s="28" t="str">
        <f>CONCATENATE(SUMIF($E$6:$E31,$E31,$K$6:$K$370)," / ",SUMIF($E$6:$E$370,$E31,$K$6:$K395))</f>
        <v>0 / 0</v>
      </c>
      <c r="I31" s="28" t="str">
        <f>CONCATENATE(SUMIF($F$6:$F31,$F31,$K$6:$K395)," / ",SUMIF($F$6:$F$370,$F31,$K$6:$K395))</f>
        <v>97,7 / 97,7</v>
      </c>
      <c r="J31" s="28" t="str">
        <f>CONCATENATE(SUM($K$6:$K31)," / ",SUM($K$6:$K$370))</f>
        <v>97,7 / 180,895</v>
      </c>
      <c r="K31" s="245">
        <v>0</v>
      </c>
      <c r="L31" s="28"/>
      <c r="M31" s="28" t="str">
        <f>CONCATENATE(SUMIF($E$6:$E31,$E31,$P$6:$P$370)," / ",SUMIF($E$6:$E$370,$E31,$P$6:$P$370))</f>
        <v>0 / 0</v>
      </c>
      <c r="N31" s="28" t="str">
        <f ca="1">CONCATENATE(SUMIF($F$6:$F31,$F31,$P31)," / ",SUMIF($F$6:$F$370,$F31,$P$6:$P$370))</f>
        <v>0 / 30</v>
      </c>
      <c r="O31" s="28" t="str">
        <f t="shared" si="4"/>
        <v>0 / 30</v>
      </c>
      <c r="P31" s="245">
        <v>0</v>
      </c>
      <c r="Q31" s="28"/>
      <c r="R31" s="246">
        <v>0</v>
      </c>
      <c r="S31" s="28" t="str">
        <f>CONCATENATE(SUMIF($E$6:$E31,E31,$R$6:$R$370)," / ",SUMIF($E$6:$E$370,E31,$R$6:$R$370))</f>
        <v>0 / 0</v>
      </c>
      <c r="T31" s="28" t="str">
        <f>CONCATENATE(SUMIF($F$6:$F31,$F31,$R$6:$R$370)," / ",SUMIF($F$6:$F$370,$F31,$R$6:$R$370))</f>
        <v>0 / 0</v>
      </c>
      <c r="U31" s="28" t="str">
        <f>CONCATENATE(SUM($R$6:$R31)," / ",SUM($R$6:$R$370))</f>
        <v>0 / 0</v>
      </c>
    </row>
    <row r="32" spans="2:24" ht="13" thickBot="1">
      <c r="B32" s="28"/>
      <c r="C32" s="237">
        <f t="shared" si="5"/>
        <v>42396</v>
      </c>
      <c r="D32" s="35" t="str">
        <f t="shared" si="6"/>
        <v>Mercredi</v>
      </c>
      <c r="E32" s="124">
        <f t="shared" si="2"/>
        <v>5</v>
      </c>
      <c r="F32" s="124">
        <v>12</v>
      </c>
      <c r="H32" s="28" t="str">
        <f>CONCATENATE(SUMIF($E$6:$E32,$E32,$K$6:$K$370)," / ",SUMIF($E$6:$E$370,$E32,$K$6:$K396))</f>
        <v>0 / 0</v>
      </c>
      <c r="I32" s="28" t="str">
        <f>CONCATENATE(SUMIF($F$6:$F32,$F32,$K$6:$K396)," / ",SUMIF($F$6:$F$370,$F32,$K$6:$K396))</f>
        <v>0 / 0</v>
      </c>
      <c r="J32" s="28" t="str">
        <f>CONCATENATE(SUM($K$6:$K32)," / ",SUM($K$6:$K$370))</f>
        <v>97,7 / 180,895</v>
      </c>
      <c r="K32" s="245">
        <v>0</v>
      </c>
      <c r="L32" s="28"/>
      <c r="M32" s="28" t="str">
        <f>CONCATENATE(SUMIF($E$6:$E32,$E32,$P$6:$P$370)," / ",SUMIF($E$6:$E$370,$E32,$P$6:$P$370))</f>
        <v>0 / 0</v>
      </c>
      <c r="N32" s="28" t="str">
        <f ca="1">CONCATENATE(SUMIF($F$6:$F32,$F32,$P32)," / ",SUMIF($F$6:$F$370,$F32,$P$6:$P$370))</f>
        <v>0 / 0</v>
      </c>
      <c r="O32" s="28" t="str">
        <f t="shared" si="4"/>
        <v>0 / 30</v>
      </c>
      <c r="P32" s="245">
        <v>0</v>
      </c>
      <c r="Q32" s="28"/>
      <c r="R32" s="246">
        <v>0</v>
      </c>
      <c r="S32" s="28" t="str">
        <f>CONCATENATE(SUMIF($E$6:$E32,E32,$R$6:$R$370)," / ",SUMIF($E$6:$E$370,E32,$R$6:$R$370))</f>
        <v>0 / 0</v>
      </c>
      <c r="T32" s="28" t="str">
        <f>CONCATENATE(SUMIF($F$6:$F32,$F32,$R$6:$R$370)," / ",SUMIF($F$6:$F$370,$F32,$R$6:$R$370))</f>
        <v>0 / 0</v>
      </c>
      <c r="U32" s="28" t="str">
        <f>CONCATENATE(SUM($R$6:$R32)," / ",SUM($R$6:$R$370))</f>
        <v>0 / 0</v>
      </c>
    </row>
    <row r="33" spans="2:21" ht="13" thickBot="1">
      <c r="B33" s="28"/>
      <c r="C33" s="237">
        <f t="shared" si="5"/>
        <v>42397</v>
      </c>
      <c r="D33" s="35" t="str">
        <f t="shared" si="6"/>
        <v>Jeudi</v>
      </c>
      <c r="E33" s="124">
        <f t="shared" si="2"/>
        <v>5</v>
      </c>
      <c r="F33" s="124">
        <f t="shared" si="3"/>
        <v>1</v>
      </c>
      <c r="G33" s="27"/>
      <c r="H33" s="28" t="str">
        <f>CONCATENATE(SUMIF($E$6:$E33,$E33,$K$6:$K$370)," / ",SUMIF($E$6:$E$370,$E33,$K$6:$K397))</f>
        <v>0 / 0</v>
      </c>
      <c r="I33" s="28" t="str">
        <f>CONCATENATE(SUMIF($F$6:$F33,$F33,$K$6:$K397)," / ",SUMIF($F$6:$F$370,$F33,$K$6:$K397))</f>
        <v>97,7 / 97,7</v>
      </c>
      <c r="J33" s="28" t="str">
        <f>CONCATENATE(SUM($K$6:$K33)," / ",SUM($K$6:$K$370))</f>
        <v>97,7 / 180,895</v>
      </c>
      <c r="K33" s="245">
        <v>0</v>
      </c>
      <c r="L33" s="28"/>
      <c r="M33" s="28" t="str">
        <f>CONCATENATE(SUMIF($E$6:$E33,$E33,$P$6:$P$370)," / ",SUMIF($E$6:$E$370,$E33,$P$6:$P$370))</f>
        <v>0 / 0</v>
      </c>
      <c r="N33" s="28" t="str">
        <f ca="1">CONCATENATE(SUMIF($F$6:$F33,$F33,$P33)," / ",SUMIF($F$6:$F$370,$F33,$P$6:$P$370))</f>
        <v>0 / 30</v>
      </c>
      <c r="O33" s="28" t="str">
        <f t="shared" si="4"/>
        <v>0 / 30</v>
      </c>
      <c r="P33" s="245">
        <v>0</v>
      </c>
      <c r="Q33" s="28"/>
      <c r="R33" s="246">
        <v>0</v>
      </c>
      <c r="S33" s="28" t="str">
        <f>CONCATENATE(SUMIF($E$6:$E33,E33,$R$6:$R$370)," / ",SUMIF($E$6:$E$370,E33,$R$6:$R$370))</f>
        <v>0 / 0</v>
      </c>
      <c r="T33" s="28" t="str">
        <f>CONCATENATE(SUMIF($F$6:$F33,$F33,$R$6:$R$370)," / ",SUMIF($F$6:$F$370,$F33,$R$6:$R$370))</f>
        <v>0 / 0</v>
      </c>
      <c r="U33" s="28" t="str">
        <f>CONCATENATE(SUM($R$6:$R33)," / ",SUM($R$6:$R$370))</f>
        <v>0 / 0</v>
      </c>
    </row>
    <row r="34" spans="2:21" ht="13" thickBot="1">
      <c r="B34" s="28"/>
      <c r="C34" s="237">
        <f t="shared" si="5"/>
        <v>42398</v>
      </c>
      <c r="D34" s="35" t="str">
        <f t="shared" si="6"/>
        <v>Vendredi</v>
      </c>
      <c r="E34" s="124">
        <f t="shared" si="2"/>
        <v>5</v>
      </c>
      <c r="F34" s="124">
        <f t="shared" si="3"/>
        <v>1</v>
      </c>
      <c r="G34" s="27"/>
      <c r="H34" s="28" t="str">
        <f>CONCATENATE(SUMIF($E$6:$E34,$E34,$K$6:$K$370)," / ",SUMIF($E$6:$E$370,$E34,$K$6:$K398))</f>
        <v>0 / 0</v>
      </c>
      <c r="I34" s="28" t="str">
        <f>CONCATENATE(SUMIF($F$6:$F34,$F34,$K$6:$K398)," / ",SUMIF($F$6:$F$370,$F34,$K$6:$K398))</f>
        <v>97,7 / 97,7</v>
      </c>
      <c r="J34" s="28" t="str">
        <f>CONCATENATE(SUM($K$6:$K34)," / ",SUM($K$6:$K$370))</f>
        <v>97,7 / 180,895</v>
      </c>
      <c r="K34" s="245">
        <v>0</v>
      </c>
      <c r="L34" s="28"/>
      <c r="M34" s="28" t="str">
        <f>CONCATENATE(SUMIF($E$6:$E34,$E34,$P$6:$P$370)," / ",SUMIF($E$6:$E$370,$E34,$P$6:$P$370))</f>
        <v>0 / 0</v>
      </c>
      <c r="N34" s="28" t="str">
        <f ca="1">CONCATENATE(SUMIF($F$6:$F34,$F34,$P34)," / ",SUMIF($F$6:$F$370,$F34,$P$6:$P$370))</f>
        <v>0 / 30</v>
      </c>
      <c r="O34" s="28" t="str">
        <f t="shared" si="4"/>
        <v>0 / 30</v>
      </c>
      <c r="P34" s="245">
        <v>0</v>
      </c>
      <c r="Q34" s="28"/>
      <c r="R34" s="246">
        <v>0</v>
      </c>
      <c r="S34" s="28" t="str">
        <f>CONCATENATE(SUMIF($E$6:$E34,E34,$R$6:$R$370)," / ",SUMIF($E$6:$E$370,E34,$R$6:$R$370))</f>
        <v>0 / 0</v>
      </c>
      <c r="T34" s="28" t="str">
        <f>CONCATENATE(SUMIF($F$6:$F34,$F34,$R$6:$R$370)," / ",SUMIF($F$6:$F$370,$F34,$R$6:$R$370))</f>
        <v>0 / 0</v>
      </c>
      <c r="U34" s="28" t="str">
        <f>CONCATENATE(SUM($R$6:$R34)," / ",SUM($R$6:$R$370))</f>
        <v>0 / 0</v>
      </c>
    </row>
    <row r="35" spans="2:21" ht="13" thickBot="1">
      <c r="B35" s="28"/>
      <c r="C35" s="237">
        <f t="shared" si="5"/>
        <v>42399</v>
      </c>
      <c r="D35" s="35" t="str">
        <f t="shared" si="6"/>
        <v>samedi</v>
      </c>
      <c r="E35" s="124">
        <f t="shared" si="2"/>
        <v>5</v>
      </c>
      <c r="F35" s="124">
        <f t="shared" si="3"/>
        <v>1</v>
      </c>
      <c r="G35" s="27"/>
      <c r="H35" s="28" t="str">
        <f>CONCATENATE(SUMIF($E$6:$E35,$E35,$K$6:$K$370)," / ",SUMIF($E$6:$E$370,$E35,$K$6:$K399))</f>
        <v>0 / 0</v>
      </c>
      <c r="I35" s="28" t="str">
        <f>CONCATENATE(SUMIF($F$6:$F35,$F35,$K$6:$K399)," / ",SUMIF($F$6:$F$370,$F35,$K$6:$K399))</f>
        <v>97,7 / 97,7</v>
      </c>
      <c r="J35" s="28" t="str">
        <f>CONCATENATE(SUM($K$6:$K35)," / ",SUM($K$6:$K$370))</f>
        <v>97,7 / 180,895</v>
      </c>
      <c r="K35" s="245">
        <v>0</v>
      </c>
      <c r="L35" s="28"/>
      <c r="M35" s="28" t="str">
        <f>CONCATENATE(SUMIF($E$6:$E35,$E35,$P$6:$P$370)," / ",SUMIF($E$6:$E$370,$E35,$P$6:$P$370))</f>
        <v>0 / 0</v>
      </c>
      <c r="N35" s="28" t="str">
        <f ca="1">CONCATENATE(SUMIF($F$6:$F35,$F35,$P35)," / ",SUMIF($F$6:$F$370,$F35,$P$6:$P$370))</f>
        <v>0 / 30</v>
      </c>
      <c r="O35" s="28" t="str">
        <f t="shared" si="4"/>
        <v>0 / 30</v>
      </c>
      <c r="P35" s="245">
        <v>0</v>
      </c>
      <c r="Q35" s="28"/>
      <c r="R35" s="246">
        <v>0</v>
      </c>
      <c r="S35" s="28" t="str">
        <f>CONCATENATE(SUMIF($E$6:$E35,E35,$R$6:$R$370)," / ",SUMIF($E$6:$E$370,E35,$R$6:$R$370))</f>
        <v>0 / 0</v>
      </c>
      <c r="T35" s="28" t="str">
        <f>CONCATENATE(SUMIF($F$6:$F35,$F35,$R$6:$R$370)," / ",SUMIF($F$6:$F$370,$F35,$R$6:$R$370))</f>
        <v>0 / 0</v>
      </c>
      <c r="U35" s="28" t="str">
        <f>CONCATENATE(SUM($R$6:$R35)," / ",SUM($R$6:$R$370))</f>
        <v>0 / 0</v>
      </c>
    </row>
    <row r="36" spans="2:21" ht="13" thickBot="1">
      <c r="B36" s="28"/>
      <c r="C36" s="237">
        <f t="shared" si="5"/>
        <v>42400</v>
      </c>
      <c r="D36" s="35" t="str">
        <f t="shared" si="6"/>
        <v>Dimanche</v>
      </c>
      <c r="E36" s="124">
        <f t="shared" si="2"/>
        <v>6</v>
      </c>
      <c r="F36" s="124">
        <f t="shared" si="3"/>
        <v>1</v>
      </c>
      <c r="G36" s="27"/>
      <c r="H36" s="28" t="str">
        <f>CONCATENATE(SUMIF($E$6:$E36,$E36,$K$6:$K$370)," / ",SUMIF($E$6:$E$370,$E36,$K$6:$K400))</f>
        <v>0 / 15</v>
      </c>
      <c r="I36" s="28" t="str">
        <f>CONCATENATE(SUMIF($F$6:$F36,$F36,$K$6:$K400)," / ",SUMIF($F$6:$F$370,$F36,$K$6:$K400))</f>
        <v>97,7 / 97,7</v>
      </c>
      <c r="J36" s="28" t="str">
        <f>CONCATENATE(SUM($K$6:$K36)," / ",SUM($K$6:$K$370))</f>
        <v>97,7 / 180,895</v>
      </c>
      <c r="K36" s="245">
        <v>0</v>
      </c>
      <c r="L36" s="28"/>
      <c r="M36" s="28" t="str">
        <f>CONCATENATE(SUMIF($E$6:$E36,$E36,$P$6:$P$370)," / ",SUMIF($E$6:$E$370,$E36,$P$6:$P$370))</f>
        <v>0 / 0</v>
      </c>
      <c r="N36" s="28" t="str">
        <f ca="1">CONCATENATE(SUMIF($F$6:$F36,$F36,$P36)," / ",SUMIF($F$6:$F$370,$F36,$P$6:$P$370))</f>
        <v>0 / 30</v>
      </c>
      <c r="O36" s="28" t="str">
        <f t="shared" si="4"/>
        <v>0 / 30</v>
      </c>
      <c r="P36" s="245">
        <v>0</v>
      </c>
      <c r="Q36" s="28"/>
      <c r="R36" s="246">
        <v>0</v>
      </c>
      <c r="S36" s="28" t="str">
        <f>CONCATENATE(SUMIF($E$6:$E36,E36,$R$6:$R$370)," / ",SUMIF($E$6:$E$370,E36,$R$6:$R$370))</f>
        <v>0 / 0</v>
      </c>
      <c r="T36" s="28" t="str">
        <f>CONCATENATE(SUMIF($F$6:$F36,$F36,$R$6:$R$370)," / ",SUMIF($F$6:$F$370,$F36,$R$6:$R$370))</f>
        <v>0 / 0</v>
      </c>
      <c r="U36" s="28" t="str">
        <f>CONCATENATE(SUM($R$6:$R36)," / ",SUM($R$6:$R$370))</f>
        <v>0 / 0</v>
      </c>
    </row>
    <row r="37" spans="2:21" ht="13" thickBot="1">
      <c r="B37" s="28"/>
      <c r="C37" s="237">
        <f t="shared" si="5"/>
        <v>42401</v>
      </c>
      <c r="D37" s="35" t="str">
        <f t="shared" si="6"/>
        <v>Lundi</v>
      </c>
      <c r="E37" s="124">
        <f t="shared" si="2"/>
        <v>6</v>
      </c>
      <c r="F37" s="124">
        <f t="shared" si="3"/>
        <v>2</v>
      </c>
      <c r="G37" s="27"/>
      <c r="H37" s="28" t="str">
        <f>CONCATENATE(SUMIF($E$6:$E37,$E37,$K$6:$K$370)," / ",SUMIF($E$6:$E$370,$E37,$K$6:$K401))</f>
        <v>0 / 15</v>
      </c>
      <c r="I37" s="28" t="str">
        <f>CONCATENATE(SUMIF($F$6:$F37,$F37,$K$6:$K401)," / ",SUMIF($F$6:$F$370,$F37,$K$6:$K401))</f>
        <v>0 / 15</v>
      </c>
      <c r="J37" s="28" t="str">
        <f>CONCATENATE(SUM($K$6:$K37)," / ",SUM($K$6:$K$370))</f>
        <v>97,7 / 180,895</v>
      </c>
      <c r="K37" s="245">
        <v>0</v>
      </c>
      <c r="L37" s="28"/>
      <c r="M37" s="28" t="str">
        <f>CONCATENATE(SUMIF($E$6:$E37,$E37,$P$6:$P$370)," / ",SUMIF($E$6:$E$370,$E37,$P$6:$P$370))</f>
        <v>0 / 0</v>
      </c>
      <c r="N37" s="28" t="str">
        <f ca="1">CONCATENATE(SUMIF($F$6:$F37,$F37,$P37)," / ",SUMIF($F$6:$F$370,$F37,$P$6:$P$370))</f>
        <v>0 / 0</v>
      </c>
      <c r="O37" s="28" t="str">
        <f t="shared" si="4"/>
        <v>0 / 30</v>
      </c>
      <c r="P37" s="245">
        <v>0</v>
      </c>
      <c r="Q37" s="28"/>
      <c r="R37" s="246">
        <v>0</v>
      </c>
      <c r="S37" s="28" t="str">
        <f>CONCATENATE(SUMIF($E$6:$E37,E37,$R$6:$R$370)," / ",SUMIF($E$6:$E$370,E37,$R$6:$R$370))</f>
        <v>0 / 0</v>
      </c>
      <c r="T37" s="28" t="str">
        <f>CONCATENATE(SUMIF($F$6:$F37,$F37,$R$6:$R$370)," / ",SUMIF($F$6:$F$370,$F37,$R$6:$R$370))</f>
        <v>0 / 0</v>
      </c>
      <c r="U37" s="28" t="str">
        <f>CONCATENATE(SUM($R$6:$R37)," / ",SUM($R$6:$R$370))</f>
        <v>0 / 0</v>
      </c>
    </row>
    <row r="38" spans="2:21" ht="13" thickBot="1">
      <c r="B38" s="28"/>
      <c r="C38" s="237">
        <f t="shared" si="5"/>
        <v>42402</v>
      </c>
      <c r="D38" s="35" t="str">
        <f t="shared" si="6"/>
        <v>Mardi</v>
      </c>
      <c r="E38" s="124">
        <f t="shared" si="2"/>
        <v>6</v>
      </c>
      <c r="F38" s="124">
        <f t="shared" si="3"/>
        <v>2</v>
      </c>
      <c r="G38" s="27"/>
      <c r="H38" s="28" t="str">
        <f>CONCATENATE(SUMIF($E$6:$E38,$E38,$K$6:$K$370)," / ",SUMIF($E$6:$E$370,$E38,$K$6:$K402))</f>
        <v>0 / 15</v>
      </c>
      <c r="I38" s="28" t="str">
        <f>CONCATENATE(SUMIF($F$6:$F38,$F38,$K$6:$K402)," / ",SUMIF($F$6:$F$370,$F38,$K$6:$K402))</f>
        <v>0 / 15</v>
      </c>
      <c r="J38" s="28" t="str">
        <f>CONCATENATE(SUM($K$6:$K38)," / ",SUM($K$6:$K$370))</f>
        <v>97,7 / 180,895</v>
      </c>
      <c r="K38" s="245">
        <v>0</v>
      </c>
      <c r="L38" s="28"/>
      <c r="M38" s="28" t="str">
        <f>CONCATENATE(SUMIF($E$6:$E38,$E38,$P$6:$P$370)," / ",SUMIF($E$6:$E$370,$E38,$P$6:$P$370))</f>
        <v>0 / 0</v>
      </c>
      <c r="N38" s="28" t="str">
        <f ca="1">CONCATENATE(SUMIF($F$6:$F38,$F38,$P38)," / ",SUMIF($F$6:$F$370,$F38,$P$6:$P$370))</f>
        <v>0 / 0</v>
      </c>
      <c r="O38" s="28" t="str">
        <f t="shared" si="4"/>
        <v>0 / 30</v>
      </c>
      <c r="P38" s="245">
        <v>0</v>
      </c>
      <c r="Q38" s="28"/>
      <c r="R38" s="246">
        <v>0</v>
      </c>
      <c r="S38" s="28" t="str">
        <f>CONCATENATE(SUMIF($E$6:$E38,E38,$R$6:$R$370)," / ",SUMIF($E$6:$E$370,E38,$R$6:$R$370))</f>
        <v>0 / 0</v>
      </c>
      <c r="T38" s="28" t="str">
        <f>CONCATENATE(SUMIF($F$6:$F38,$F38,$R$6:$R$370)," / ",SUMIF($F$6:$F$370,$F38,$R$6:$R$370))</f>
        <v>0 / 0</v>
      </c>
      <c r="U38" s="28" t="str">
        <f>CONCATENATE(SUM($R$6:$R38)," / ",SUM($R$6:$R$370))</f>
        <v>0 / 0</v>
      </c>
    </row>
    <row r="39" spans="2:21" ht="13" thickBot="1">
      <c r="B39" s="28"/>
      <c r="C39" s="237">
        <f t="shared" si="5"/>
        <v>42403</v>
      </c>
      <c r="D39" s="35" t="str">
        <f t="shared" si="6"/>
        <v>Mercredi</v>
      </c>
      <c r="E39" s="124">
        <f t="shared" si="2"/>
        <v>6</v>
      </c>
      <c r="F39" s="124">
        <f t="shared" si="3"/>
        <v>2</v>
      </c>
      <c r="G39" s="27"/>
      <c r="H39" s="28" t="str">
        <f>CONCATENATE(SUMIF($E$6:$E39,$E39,$K$6:$K$370)," / ",SUMIF($E$6:$E$370,$E39,$K$6:$K403))</f>
        <v>0 / 15</v>
      </c>
      <c r="I39" s="28" t="str">
        <f>CONCATENATE(SUMIF($F$6:$F39,$F39,$K$6:$K403)," / ",SUMIF($F$6:$F$370,$F39,$K$6:$K403))</f>
        <v>0 / 15</v>
      </c>
      <c r="J39" s="28" t="str">
        <f>CONCATENATE(SUM($K$6:$K39)," / ",SUM($K$6:$K$370))</f>
        <v>97,7 / 180,895</v>
      </c>
      <c r="K39" s="245">
        <v>0</v>
      </c>
      <c r="L39" s="28"/>
      <c r="M39" s="28" t="str">
        <f>CONCATENATE(SUMIF($E$6:$E39,$E39,$P$6:$P$370)," / ",SUMIF($E$6:$E$370,$E39,$P$6:$P$370))</f>
        <v>0 / 0</v>
      </c>
      <c r="N39" s="28" t="str">
        <f ca="1">CONCATENATE(SUMIF($F$6:$F39,$F39,$P39)," / ",SUMIF($F$6:$F$370,$F39,$P$6:$P$370))</f>
        <v>0 / 0</v>
      </c>
      <c r="O39" s="28" t="str">
        <f t="shared" si="4"/>
        <v>0 / 30</v>
      </c>
      <c r="P39" s="245">
        <v>0</v>
      </c>
      <c r="Q39" s="28"/>
      <c r="R39" s="246">
        <v>0</v>
      </c>
      <c r="S39" s="28" t="str">
        <f>CONCATENATE(SUMIF($E$6:$E39,E39,$R$6:$R$370)," / ",SUMIF($E$6:$E$370,E39,$R$6:$R$370))</f>
        <v>0 / 0</v>
      </c>
      <c r="T39" s="28" t="str">
        <f>CONCATENATE(SUMIF($F$6:$F39,$F39,$R$6:$R$370)," / ",SUMIF($F$6:$F$370,$F39,$R$6:$R$370))</f>
        <v>0 / 0</v>
      </c>
      <c r="U39" s="28" t="str">
        <f>CONCATENATE(SUM($R$6:$R39)," / ",SUM($R$6:$R$370))</f>
        <v>0 / 0</v>
      </c>
    </row>
    <row r="40" spans="2:21" ht="13" thickBot="1">
      <c r="B40" s="28"/>
      <c r="C40" s="237">
        <f t="shared" si="5"/>
        <v>42404</v>
      </c>
      <c r="D40" s="35" t="str">
        <f t="shared" si="6"/>
        <v>Jeudi</v>
      </c>
      <c r="E40" s="124">
        <f t="shared" si="2"/>
        <v>6</v>
      </c>
      <c r="F40" s="124">
        <f t="shared" si="3"/>
        <v>2</v>
      </c>
      <c r="G40" s="27"/>
      <c r="H40" s="28" t="str">
        <f>CONCATENATE(SUMIF($E$6:$E40,$E40,$K$6:$K$370)," / ",SUMIF($E$6:$E$370,$E40,$K$6:$K404))</f>
        <v>0 / 15</v>
      </c>
      <c r="I40" s="28" t="str">
        <f>CONCATENATE(SUMIF($F$6:$F40,$F40,$K$6:$K404)," / ",SUMIF($F$6:$F$370,$F40,$K$6:$K404))</f>
        <v>0 / 15</v>
      </c>
      <c r="J40" s="28" t="str">
        <f>CONCATENATE(SUM($K$6:$K40)," / ",SUM($K$6:$K$370))</f>
        <v>97,7 / 180,895</v>
      </c>
      <c r="K40" s="245">
        <v>0</v>
      </c>
      <c r="L40" s="28"/>
      <c r="M40" s="28" t="str">
        <f>CONCATENATE(SUMIF($E$6:$E40,$E40,$P$6:$P$370)," / ",SUMIF($E$6:$E$370,$E40,$P$6:$P$370))</f>
        <v>0 / 0</v>
      </c>
      <c r="N40" s="28" t="str">
        <f ca="1">CONCATENATE(SUMIF($F$6:$F40,$F40,$P40)," / ",SUMIF($F$6:$F$370,$F40,$P$6:$P$370))</f>
        <v>0 / 0</v>
      </c>
      <c r="O40" s="28" t="str">
        <f t="shared" si="4"/>
        <v>0 / 30</v>
      </c>
      <c r="P40" s="245">
        <v>0</v>
      </c>
      <c r="Q40" s="28"/>
      <c r="R40" s="246">
        <v>0</v>
      </c>
      <c r="S40" s="28" t="str">
        <f>CONCATENATE(SUMIF($E$6:$E40,E40,$R$6:$R$370)," / ",SUMIF($E$6:$E$370,E40,$R$6:$R$370))</f>
        <v>0 / 0</v>
      </c>
      <c r="T40" s="28" t="str">
        <f>CONCATENATE(SUMIF($F$6:$F40,$F40,$R$6:$R$370)," / ",SUMIF($F$6:$F$370,$F40,$R$6:$R$370))</f>
        <v>0 / 0</v>
      </c>
      <c r="U40" s="28" t="str">
        <f>CONCATENATE(SUM($R$6:$R40)," / ",SUM($R$6:$R$370))</f>
        <v>0 / 0</v>
      </c>
    </row>
    <row r="41" spans="2:21" ht="13" thickBot="1">
      <c r="B41" s="28"/>
      <c r="C41" s="237">
        <f t="shared" si="5"/>
        <v>42405</v>
      </c>
      <c r="D41" s="35" t="str">
        <f t="shared" si="6"/>
        <v>Vendredi</v>
      </c>
      <c r="E41" s="124">
        <f t="shared" si="2"/>
        <v>6</v>
      </c>
      <c r="F41" s="124">
        <f t="shared" si="3"/>
        <v>2</v>
      </c>
      <c r="G41" s="27"/>
      <c r="H41" s="28" t="str">
        <f>CONCATENATE(SUMIF($E$6:$E41,$E41,$K$6:$K$370)," / ",SUMIF($E$6:$E$370,$E41,$K$6:$K405))</f>
        <v>0 / 15</v>
      </c>
      <c r="I41" s="28" t="str">
        <f>CONCATENATE(SUMIF($F$6:$F41,$F41,$K$6:$K405)," / ",SUMIF($F$6:$F$370,$F41,$K$6:$K405))</f>
        <v>0 / 15</v>
      </c>
      <c r="J41" s="28" t="str">
        <f>CONCATENATE(SUM($K$6:$K41)," / ",SUM($K$6:$K$370))</f>
        <v>97,7 / 180,895</v>
      </c>
      <c r="K41" s="245">
        <v>0</v>
      </c>
      <c r="L41" s="28"/>
      <c r="M41" s="28" t="str">
        <f>CONCATENATE(SUMIF($E$6:$E41,$E41,$P$6:$P$370)," / ",SUMIF($E$6:$E$370,$E41,$P$6:$P$370))</f>
        <v>0 / 0</v>
      </c>
      <c r="N41" s="28" t="str">
        <f ca="1">CONCATENATE(SUMIF($F$6:$F41,$F41,$P41)," / ",SUMIF($F$6:$F$370,$F41,$P$6:$P$370))</f>
        <v>0 / 0</v>
      </c>
      <c r="O41" s="28" t="str">
        <f t="shared" si="4"/>
        <v>0 / 30</v>
      </c>
      <c r="P41" s="245">
        <v>0</v>
      </c>
      <c r="Q41" s="28"/>
      <c r="R41" s="246">
        <v>0</v>
      </c>
      <c r="S41" s="28" t="str">
        <f>CONCATENATE(SUMIF($E$6:$E41,E41,$R$6:$R$370)," / ",SUMIF($E$6:$E$370,E41,$R$6:$R$370))</f>
        <v>0 / 0</v>
      </c>
      <c r="T41" s="28" t="str">
        <f>CONCATENATE(SUMIF($F$6:$F41,$F41,$R$6:$R$370)," / ",SUMIF($F$6:$F$370,$F41,$R$6:$R$370))</f>
        <v>0 / 0</v>
      </c>
      <c r="U41" s="28" t="str">
        <f>CONCATENATE(SUM($R$6:$R41)," / ",SUM($R$6:$R$370))</f>
        <v>0 / 0</v>
      </c>
    </row>
    <row r="42" spans="2:21" ht="16" thickBot="1">
      <c r="B42" s="28"/>
      <c r="C42" s="268">
        <f t="shared" si="5"/>
        <v>42406</v>
      </c>
      <c r="D42" s="193" t="str">
        <f t="shared" si="6"/>
        <v>samedi</v>
      </c>
      <c r="E42" s="193">
        <f t="shared" si="2"/>
        <v>6</v>
      </c>
      <c r="F42" s="194">
        <f t="shared" si="3"/>
        <v>2</v>
      </c>
      <c r="G42" s="195" t="s">
        <v>679</v>
      </c>
      <c r="H42" s="28" t="str">
        <f>CONCATENATE(SUMIF($E$6:$E42,$E42,$K$6:$K$370)," / ",SUMIF($E$6:$E$370,$E42,$K$6:$K406))</f>
        <v>15 / 15</v>
      </c>
      <c r="I42" s="28" t="str">
        <f>CONCATENATE(SUMIF($F$6:$F42,$F42,$K$6:$K406)," / ",SUMIF($F$6:$F$370,$F42,$K$6:$K406))</f>
        <v>15 / 15</v>
      </c>
      <c r="J42" s="28" t="str">
        <f>CONCATENATE(SUM($K$6:$K42)," / ",SUM($K$6:$K$370))</f>
        <v>112,7 / 180,895</v>
      </c>
      <c r="K42" s="245">
        <v>15</v>
      </c>
      <c r="L42" s="28"/>
      <c r="M42" s="28" t="str">
        <f>CONCATENATE(SUMIF($E$6:$E42,$E42,$P$6:$P$370)," / ",SUMIF($E$6:$E$370,$E42,$P$6:$P$370))</f>
        <v>0 / 0</v>
      </c>
      <c r="N42" s="28" t="str">
        <f ca="1">CONCATENATE(SUMIF($F$6:$F42,$F42,$P42)," / ",SUMIF($F$6:$F$370,$F42,$P$6:$P$370))</f>
        <v>0 / 0</v>
      </c>
      <c r="O42" s="28" t="str">
        <f t="shared" si="4"/>
        <v>0 / 30</v>
      </c>
      <c r="P42" s="245">
        <v>0</v>
      </c>
      <c r="Q42" s="28"/>
      <c r="R42" s="246">
        <v>0</v>
      </c>
      <c r="S42" s="28" t="str">
        <f>CONCATENATE(SUMIF($E$6:$E42,E42,$R$6:$R$370)," / ",SUMIF($E$6:$E$370,E42,$R$6:$R$370))</f>
        <v>0 / 0</v>
      </c>
      <c r="T42" s="28" t="str">
        <f>CONCATENATE(SUMIF($F$6:$F42,$F42,$R$6:$R$370)," / ",SUMIF($F$6:$F$370,$F42,$R$6:$R$370))</f>
        <v>0 / 0</v>
      </c>
      <c r="U42" s="28" t="str">
        <f>CONCATENATE(SUM($R$6:$R42)," / ",SUM($R$6:$R$370))</f>
        <v>0 / 0</v>
      </c>
    </row>
    <row r="43" spans="2:21" ht="13" thickBot="1">
      <c r="B43" s="28"/>
      <c r="C43" s="237">
        <f t="shared" si="5"/>
        <v>42407</v>
      </c>
      <c r="D43" s="35" t="str">
        <f t="shared" si="6"/>
        <v>Dimanche</v>
      </c>
      <c r="E43" s="124">
        <f t="shared" si="2"/>
        <v>7</v>
      </c>
      <c r="F43" s="124">
        <f t="shared" si="3"/>
        <v>2</v>
      </c>
      <c r="G43" s="27"/>
      <c r="H43" s="28" t="str">
        <f>CONCATENATE(SUMIF($E$6:$E43,$E43,$K$6:$K$370)," / ",SUMIF($E$6:$E$370,$E43,$K$6:$K407))</f>
        <v>0 / 0</v>
      </c>
      <c r="I43" s="28" t="str">
        <f>CONCATENATE(SUMIF($F$6:$F43,$F43,$K$6:$K407)," / ",SUMIF($F$6:$F$370,$F43,$K$6:$K407))</f>
        <v>15 / 15</v>
      </c>
      <c r="J43" s="28" t="str">
        <f>CONCATENATE(SUM($K$6:$K43)," / ",SUM($K$6:$K$370))</f>
        <v>112,7 / 180,895</v>
      </c>
      <c r="K43" s="245">
        <v>0</v>
      </c>
      <c r="L43" s="28"/>
      <c r="M43" s="28" t="str">
        <f>CONCATENATE(SUMIF($E$6:$E43,$E43,$P$6:$P$370)," / ",SUMIF($E$6:$E$370,$E43,$P$6:$P$370))</f>
        <v>0 / 0</v>
      </c>
      <c r="N43" s="28" t="str">
        <f ca="1">CONCATENATE(SUMIF($F$6:$F43,$F43,$P43)," / ",SUMIF($F$6:$F$370,$F43,$P$6:$P$370))</f>
        <v>0 / 0</v>
      </c>
      <c r="O43" s="28" t="str">
        <f t="shared" si="4"/>
        <v>0 / 30</v>
      </c>
      <c r="P43" s="245">
        <v>0</v>
      </c>
      <c r="Q43" s="28"/>
      <c r="R43" s="246">
        <v>0</v>
      </c>
      <c r="S43" s="28" t="str">
        <f>CONCATENATE(SUMIF($E$6:$E43,E43,$R$6:$R$370)," / ",SUMIF($E$6:$E$370,E43,$R$6:$R$370))</f>
        <v>0 / 0</v>
      </c>
      <c r="T43" s="28" t="str">
        <f>CONCATENATE(SUMIF($F$6:$F43,$F43,$R$6:$R$370)," / ",SUMIF($F$6:$F$370,$F43,$R$6:$R$370))</f>
        <v>0 / 0</v>
      </c>
      <c r="U43" s="28" t="str">
        <f>CONCATENATE(SUM($R$6:$R43)," / ",SUM($R$6:$R$370))</f>
        <v>0 / 0</v>
      </c>
    </row>
    <row r="44" spans="2:21" ht="13" thickBot="1">
      <c r="B44" s="28"/>
      <c r="C44" s="237">
        <f t="shared" si="5"/>
        <v>42408</v>
      </c>
      <c r="D44" s="35" t="str">
        <f t="shared" si="6"/>
        <v>Lundi</v>
      </c>
      <c r="E44" s="124">
        <f t="shared" si="2"/>
        <v>7</v>
      </c>
      <c r="F44" s="124">
        <f t="shared" si="3"/>
        <v>2</v>
      </c>
      <c r="G44" s="27"/>
      <c r="H44" s="28" t="str">
        <f>CONCATENATE(SUMIF($E$6:$E44,$E44,$K$6:$K$370)," / ",SUMIF($E$6:$E$370,$E44,$K$6:$K408))</f>
        <v>0 / 0</v>
      </c>
      <c r="I44" s="28" t="str">
        <f>CONCATENATE(SUMIF($F$6:$F44,$F44,$K$6:$K408)," / ",SUMIF($F$6:$F$370,$F44,$K$6:$K408))</f>
        <v>15 / 15</v>
      </c>
      <c r="J44" s="28" t="str">
        <f>CONCATENATE(SUM($K$6:$K44)," / ",SUM($K$6:$K$370))</f>
        <v>112,7 / 180,895</v>
      </c>
      <c r="K44" s="245">
        <v>0</v>
      </c>
      <c r="L44" s="28"/>
      <c r="M44" s="28" t="str">
        <f>CONCATENATE(SUMIF($E$6:$E44,$E44,$P$6:$P$370)," / ",SUMIF($E$6:$E$370,$E44,$P$6:$P$370))</f>
        <v>0 / 0</v>
      </c>
      <c r="N44" s="28" t="str">
        <f ca="1">CONCATENATE(SUMIF($F$6:$F44,$F44,$P44)," / ",SUMIF($F$6:$F$370,$F44,$P$6:$P$370))</f>
        <v>0 / 0</v>
      </c>
      <c r="O44" s="28" t="str">
        <f t="shared" si="4"/>
        <v>0 / 30</v>
      </c>
      <c r="P44" s="245">
        <v>0</v>
      </c>
      <c r="Q44" s="28"/>
      <c r="R44" s="246">
        <v>0</v>
      </c>
      <c r="S44" s="28" t="str">
        <f>CONCATENATE(SUMIF($E$6:$E44,E44,$R$6:$R$370)," / ",SUMIF($E$6:$E$370,E44,$R$6:$R$370))</f>
        <v>0 / 0</v>
      </c>
      <c r="T44" s="28" t="str">
        <f>CONCATENATE(SUMIF($F$6:$F44,$F44,$R$6:$R$370)," / ",SUMIF($F$6:$F$370,$F44,$R$6:$R$370))</f>
        <v>0 / 0</v>
      </c>
      <c r="U44" s="28" t="str">
        <f>CONCATENATE(SUM($R$6:$R44)," / ",SUM($R$6:$R$370))</f>
        <v>0 / 0</v>
      </c>
    </row>
    <row r="45" spans="2:21" ht="13" thickBot="1">
      <c r="B45" s="28"/>
      <c r="C45" s="237">
        <f t="shared" si="5"/>
        <v>42409</v>
      </c>
      <c r="D45" s="35" t="str">
        <f t="shared" si="6"/>
        <v>Mardi</v>
      </c>
      <c r="E45" s="124">
        <f t="shared" si="2"/>
        <v>7</v>
      </c>
      <c r="F45" s="124">
        <f t="shared" si="3"/>
        <v>2</v>
      </c>
      <c r="G45" s="27"/>
      <c r="H45" s="28" t="str">
        <f>CONCATENATE(SUMIF($E$6:$E45,$E45,$K$6:$K$370)," / ",SUMIF($E$6:$E$370,$E45,$K$6:$K409))</f>
        <v>0 / 0</v>
      </c>
      <c r="I45" s="28" t="str">
        <f>CONCATENATE(SUMIF($F$6:$F45,$F45,$K$6:$K409)," / ",SUMIF($F$6:$F$370,$F45,$K$6:$K409))</f>
        <v>15 / 15</v>
      </c>
      <c r="J45" s="28" t="str">
        <f>CONCATENATE(SUM($K$6:$K45)," / ",SUM($K$6:$K$370))</f>
        <v>112,7 / 180,895</v>
      </c>
      <c r="K45" s="245">
        <v>0</v>
      </c>
      <c r="L45" s="28"/>
      <c r="M45" s="28" t="str">
        <f>CONCATENATE(SUMIF($E$6:$E45,$E45,$P$6:$P$370)," / ",SUMIF($E$6:$E$370,$E45,$P$6:$P$370))</f>
        <v>0 / 0</v>
      </c>
      <c r="N45" s="28" t="str">
        <f ca="1">CONCATENATE(SUMIF($F$6:$F45,$F45,$P45)," / ",SUMIF($F$6:$F$370,$F45,$P$6:$P$370))</f>
        <v>0 / 0</v>
      </c>
      <c r="O45" s="28" t="str">
        <f t="shared" si="4"/>
        <v>0 / 30</v>
      </c>
      <c r="P45" s="245">
        <v>0</v>
      </c>
      <c r="Q45" s="28"/>
      <c r="R45" s="246">
        <v>0</v>
      </c>
      <c r="S45" s="28" t="str">
        <f>CONCATENATE(SUMIF($E$6:$E45,E45,$R$6:$R$370)," / ",SUMIF($E$6:$E$370,E45,$R$6:$R$370))</f>
        <v>0 / 0</v>
      </c>
      <c r="T45" s="28" t="str">
        <f>CONCATENATE(SUMIF($F$6:$F45,$F45,$R$6:$R$370)," / ",SUMIF($F$6:$F$370,$F45,$R$6:$R$370))</f>
        <v>0 / 0</v>
      </c>
      <c r="U45" s="28" t="str">
        <f>CONCATENATE(SUM($R$6:$R45)," / ",SUM($R$6:$R$370))</f>
        <v>0 / 0</v>
      </c>
    </row>
    <row r="46" spans="2:21" ht="13" thickBot="1">
      <c r="B46" s="28"/>
      <c r="C46" s="237">
        <f t="shared" si="5"/>
        <v>42410</v>
      </c>
      <c r="D46" s="35" t="str">
        <f t="shared" si="6"/>
        <v>Mercredi</v>
      </c>
      <c r="E46" s="124">
        <f t="shared" si="2"/>
        <v>7</v>
      </c>
      <c r="F46" s="124">
        <f t="shared" si="3"/>
        <v>2</v>
      </c>
      <c r="G46" s="27"/>
      <c r="H46" s="28" t="str">
        <f>CONCATENATE(SUMIF($E$6:$E46,$E46,$K$6:$K$370)," / ",SUMIF($E$6:$E$370,$E46,$K$6:$K410))</f>
        <v>0 / 0</v>
      </c>
      <c r="I46" s="28" t="str">
        <f>CONCATENATE(SUMIF($F$6:$F46,$F46,$K$6:$K410)," / ",SUMIF($F$6:$F$370,$F46,$K$6:$K410))</f>
        <v>15 / 15</v>
      </c>
      <c r="J46" s="28" t="str">
        <f>CONCATENATE(SUM($K$6:$K46)," / ",SUM($K$6:$K$370))</f>
        <v>112,7 / 180,895</v>
      </c>
      <c r="K46" s="245">
        <v>0</v>
      </c>
      <c r="L46" s="28"/>
      <c r="M46" s="28" t="str">
        <f>CONCATENATE(SUMIF($E$6:$E46,$E46,$P$6:$P$370)," / ",SUMIF($E$6:$E$370,$E46,$P$6:$P$370))</f>
        <v>0 / 0</v>
      </c>
      <c r="N46" s="28" t="str">
        <f ca="1">CONCATENATE(SUMIF($F$6:$F46,$F46,$P46)," / ",SUMIF($F$6:$F$370,$F46,$P$6:$P$370))</f>
        <v>0 / 0</v>
      </c>
      <c r="O46" s="28" t="str">
        <f t="shared" si="4"/>
        <v>0 / 30</v>
      </c>
      <c r="P46" s="245">
        <v>0</v>
      </c>
      <c r="Q46" s="28"/>
      <c r="R46" s="246">
        <v>0</v>
      </c>
      <c r="S46" s="28" t="str">
        <f>CONCATENATE(SUMIF($E$6:$E46,E46,$R$6:$R$370)," / ",SUMIF($E$6:$E$370,E46,$R$6:$R$370))</f>
        <v>0 / 0</v>
      </c>
      <c r="T46" s="28" t="str">
        <f>CONCATENATE(SUMIF($F$6:$F46,$F46,$R$6:$R$370)," / ",SUMIF($F$6:$F$370,$F46,$R$6:$R$370))</f>
        <v>0 / 0</v>
      </c>
      <c r="U46" s="28" t="str">
        <f>CONCATENATE(SUM($R$6:$R46)," / ",SUM($R$6:$R$370))</f>
        <v>0 / 0</v>
      </c>
    </row>
    <row r="47" spans="2:21" ht="13" thickBot="1">
      <c r="B47" s="28"/>
      <c r="C47" s="237">
        <f t="shared" si="5"/>
        <v>42411</v>
      </c>
      <c r="D47" s="35" t="str">
        <f t="shared" si="6"/>
        <v>Jeudi</v>
      </c>
      <c r="E47" s="124">
        <f t="shared" si="2"/>
        <v>7</v>
      </c>
      <c r="F47" s="124">
        <f t="shared" si="3"/>
        <v>2</v>
      </c>
      <c r="G47" s="27"/>
      <c r="H47" s="28" t="str">
        <f>CONCATENATE(SUMIF($E$6:$E47,$E47,$K$6:$K$370)," / ",SUMIF($E$6:$E$370,$E47,$K$6:$K411))</f>
        <v>0 / 0</v>
      </c>
      <c r="I47" s="28" t="str">
        <f>CONCATENATE(SUMIF($F$6:$F47,$F47,$K$6:$K411)," / ",SUMIF($F$6:$F$370,$F47,$K$6:$K411))</f>
        <v>15 / 15</v>
      </c>
      <c r="J47" s="28" t="str">
        <f>CONCATENATE(SUM($K$6:$K47)," / ",SUM($K$6:$K$370))</f>
        <v>112,7 / 180,895</v>
      </c>
      <c r="K47" s="245">
        <v>0</v>
      </c>
      <c r="L47" s="28"/>
      <c r="M47" s="28" t="str">
        <f>CONCATENATE(SUMIF($E$6:$E47,$E47,$P$6:$P$370)," / ",SUMIF($E$6:$E$370,$E47,$P$6:$P$370))</f>
        <v>0 / 0</v>
      </c>
      <c r="N47" s="28" t="str">
        <f ca="1">CONCATENATE(SUMIF($F$6:$F47,$F47,$P47)," / ",SUMIF($F$6:$F$370,$F47,$P$6:$P$370))</f>
        <v>0 / 0</v>
      </c>
      <c r="O47" s="28" t="str">
        <f t="shared" si="4"/>
        <v>0 / 30</v>
      </c>
      <c r="P47" s="245">
        <v>0</v>
      </c>
      <c r="Q47" s="28"/>
      <c r="R47" s="246">
        <v>0</v>
      </c>
      <c r="S47" s="28" t="str">
        <f>CONCATENATE(SUMIF($E$6:$E47,E47,$R$6:$R$370)," / ",SUMIF($E$6:$E$370,E47,$R$6:$R$370))</f>
        <v>0 / 0</v>
      </c>
      <c r="T47" s="28" t="str">
        <f>CONCATENATE(SUMIF($F$6:$F47,$F47,$R$6:$R$370)," / ",SUMIF($F$6:$F$370,$F47,$R$6:$R$370))</f>
        <v>0 / 0</v>
      </c>
      <c r="U47" s="28" t="str">
        <f>CONCATENATE(SUM($R$6:$R47)," / ",SUM($R$6:$R$370))</f>
        <v>0 / 0</v>
      </c>
    </row>
    <row r="48" spans="2:21" ht="13" thickBot="1">
      <c r="B48" s="28"/>
      <c r="C48" s="237">
        <f t="shared" si="5"/>
        <v>42412</v>
      </c>
      <c r="D48" s="35" t="str">
        <f t="shared" si="6"/>
        <v>Vendredi</v>
      </c>
      <c r="E48" s="124">
        <f t="shared" si="2"/>
        <v>7</v>
      </c>
      <c r="F48" s="124">
        <f t="shared" si="3"/>
        <v>2</v>
      </c>
      <c r="G48" s="27"/>
      <c r="H48" s="28" t="str">
        <f>CONCATENATE(SUMIF($E$6:$E48,$E48,$K$6:$K$370)," / ",SUMIF($E$6:$E$370,$E48,$K$6:$K412))</f>
        <v>0 / 0</v>
      </c>
      <c r="I48" s="28" t="str">
        <f>CONCATENATE(SUMIF($F$6:$F48,$F48,$K$6:$K412)," / ",SUMIF($F$6:$F$370,$F48,$K$6:$K412))</f>
        <v>15 / 15</v>
      </c>
      <c r="J48" s="28" t="str">
        <f>CONCATENATE(SUM($K$6:$K48)," / ",SUM($K$6:$K$370))</f>
        <v>112,7 / 180,895</v>
      </c>
      <c r="K48" s="245">
        <v>0</v>
      </c>
      <c r="L48" s="28"/>
      <c r="M48" s="28" t="str">
        <f>CONCATENATE(SUMIF($E$6:$E48,$E48,$P$6:$P$370)," / ",SUMIF($E$6:$E$370,$E48,$P$6:$P$370))</f>
        <v>0 / 0</v>
      </c>
      <c r="N48" s="28" t="str">
        <f ca="1">CONCATENATE(SUMIF($F$6:$F48,$F48,$P48)," / ",SUMIF($F$6:$F$370,$F48,$P$6:$P$370))</f>
        <v>0 / 0</v>
      </c>
      <c r="O48" s="28" t="str">
        <f t="shared" si="4"/>
        <v>0 / 30</v>
      </c>
      <c r="P48" s="245">
        <v>0</v>
      </c>
      <c r="Q48" s="28"/>
      <c r="R48" s="246">
        <v>0</v>
      </c>
      <c r="S48" s="28" t="str">
        <f>CONCATENATE(SUMIF($E$6:$E48,E48,$R$6:$R$370)," / ",SUMIF($E$6:$E$370,E48,$R$6:$R$370))</f>
        <v>0 / 0</v>
      </c>
      <c r="T48" s="28" t="str">
        <f>CONCATENATE(SUMIF($F$6:$F48,$F48,$R$6:$R$370)," / ",SUMIF($F$6:$F$370,$F48,$R$6:$R$370))</f>
        <v>0 / 0</v>
      </c>
      <c r="U48" s="28" t="str">
        <f>CONCATENATE(SUM($R$6:$R48)," / ",SUM($R$6:$R$370))</f>
        <v>0 / 0</v>
      </c>
    </row>
    <row r="49" spans="2:21" ht="13" thickBot="1">
      <c r="B49" s="28"/>
      <c r="C49" s="237">
        <f t="shared" si="5"/>
        <v>42413</v>
      </c>
      <c r="D49" s="35" t="str">
        <f t="shared" si="6"/>
        <v>samedi</v>
      </c>
      <c r="E49" s="124">
        <f t="shared" si="2"/>
        <v>7</v>
      </c>
      <c r="F49" s="124">
        <f t="shared" si="3"/>
        <v>2</v>
      </c>
      <c r="G49" s="27"/>
      <c r="H49" s="28" t="str">
        <f>CONCATENATE(SUMIF($E$6:$E49,$E49,$K$6:$K$370)," / ",SUMIF($E$6:$E$370,$E49,$K$6:$K413))</f>
        <v>0 / 0</v>
      </c>
      <c r="I49" s="28" t="str">
        <f>CONCATENATE(SUMIF($F$6:$F49,$F49,$K$6:$K413)," / ",SUMIF($F$6:$F$370,$F49,$K$6:$K413))</f>
        <v>15 / 15</v>
      </c>
      <c r="J49" s="28" t="str">
        <f>CONCATENATE(SUM($K$6:$K49)," / ",SUM($K$6:$K$370))</f>
        <v>112,7 / 180,895</v>
      </c>
      <c r="K49" s="245">
        <v>0</v>
      </c>
      <c r="L49" s="28"/>
      <c r="M49" s="28" t="str">
        <f>CONCATENATE(SUMIF($E$6:$E49,$E49,$P$6:$P$370)," / ",SUMIF($E$6:$E$370,$E49,$P$6:$P$370))</f>
        <v>0 / 0</v>
      </c>
      <c r="N49" s="28" t="str">
        <f ca="1">CONCATENATE(SUMIF($F$6:$F49,$F49,$P49)," / ",SUMIF($F$6:$F$370,$F49,$P$6:$P$370))</f>
        <v>0 / 0</v>
      </c>
      <c r="O49" s="28" t="str">
        <f t="shared" si="4"/>
        <v>0 / 30</v>
      </c>
      <c r="P49" s="245">
        <v>0</v>
      </c>
      <c r="Q49" s="28"/>
      <c r="R49" s="246">
        <v>0</v>
      </c>
      <c r="S49" s="28" t="str">
        <f>CONCATENATE(SUMIF($E$6:$E49,E49,$R$6:$R$370)," / ",SUMIF($E$6:$E$370,E49,$R$6:$R$370))</f>
        <v>0 / 0</v>
      </c>
      <c r="T49" s="28" t="str">
        <f>CONCATENATE(SUMIF($F$6:$F49,$F49,$R$6:$R$370)," / ",SUMIF($F$6:$F$370,$F49,$R$6:$R$370))</f>
        <v>0 / 0</v>
      </c>
      <c r="U49" s="28" t="str">
        <f>CONCATENATE(SUM($R$6:$R49)," / ",SUM($R$6:$R$370))</f>
        <v>0 / 0</v>
      </c>
    </row>
    <row r="50" spans="2:21" ht="13" thickBot="1">
      <c r="B50" s="28"/>
      <c r="C50" s="237">
        <f t="shared" si="5"/>
        <v>42414</v>
      </c>
      <c r="D50" s="35" t="str">
        <f t="shared" si="6"/>
        <v>Dimanche</v>
      </c>
      <c r="E50" s="124">
        <f t="shared" si="2"/>
        <v>8</v>
      </c>
      <c r="F50" s="124">
        <f t="shared" si="3"/>
        <v>2</v>
      </c>
      <c r="G50" s="27"/>
      <c r="H50" s="28" t="str">
        <f>CONCATENATE(SUMIF($E$6:$E50,$E50,$K$6:$K$370)," / ",SUMIF($E$6:$E$370,$E50,$K$6:$K414))</f>
        <v>0 / 0</v>
      </c>
      <c r="I50" s="28" t="str">
        <f>CONCATENATE(SUMIF($F$6:$F50,$F50,$K$6:$K414)," / ",SUMIF($F$6:$F$370,$F50,$K$6:$K414))</f>
        <v>15 / 15</v>
      </c>
      <c r="J50" s="28" t="str">
        <f>CONCATENATE(SUM($K$6:$K50)," / ",SUM($K$6:$K$370))</f>
        <v>112,7 / 180,895</v>
      </c>
      <c r="K50" s="245">
        <v>0</v>
      </c>
      <c r="L50" s="28"/>
      <c r="M50" s="28" t="str">
        <f>CONCATENATE(SUMIF($E$6:$E50,$E50,$P$6:$P$370)," / ",SUMIF($E$6:$E$370,$E50,$P$6:$P$370))</f>
        <v>0 / 0</v>
      </c>
      <c r="N50" s="28" t="str">
        <f ca="1">CONCATENATE(SUMIF($F$6:$F50,$F50,$P50)," / ",SUMIF($F$6:$F$370,$F50,$P$6:$P$370))</f>
        <v>0 / 0</v>
      </c>
      <c r="O50" s="28" t="str">
        <f t="shared" si="4"/>
        <v>0 / 30</v>
      </c>
      <c r="P50" s="245">
        <v>0</v>
      </c>
      <c r="Q50" s="28"/>
      <c r="R50" s="246">
        <v>0</v>
      </c>
      <c r="S50" s="28" t="str">
        <f>CONCATENATE(SUMIF($E$6:$E50,E50,$R$6:$R$370)," / ",SUMIF($E$6:$E$370,E50,$R$6:$R$370))</f>
        <v>0 / 0</v>
      </c>
      <c r="T50" s="28" t="str">
        <f>CONCATENATE(SUMIF($F$6:$F50,$F50,$R$6:$R$370)," / ",SUMIF($F$6:$F$370,$F50,$R$6:$R$370))</f>
        <v>0 / 0</v>
      </c>
      <c r="U50" s="28" t="str">
        <f>CONCATENATE(SUM($R$6:$R50)," / ",SUM($R$6:$R$370))</f>
        <v>0 / 0</v>
      </c>
    </row>
    <row r="51" spans="2:21" ht="13" thickBot="1">
      <c r="B51" s="28"/>
      <c r="C51" s="237">
        <f t="shared" si="5"/>
        <v>42415</v>
      </c>
      <c r="D51" s="35" t="str">
        <f t="shared" si="6"/>
        <v>Lundi</v>
      </c>
      <c r="E51" s="124">
        <f t="shared" si="2"/>
        <v>8</v>
      </c>
      <c r="F51" s="124">
        <f t="shared" si="3"/>
        <v>2</v>
      </c>
      <c r="G51" s="27"/>
      <c r="H51" s="28" t="str">
        <f>CONCATENATE(SUMIF($E$6:$E51,$E51,$K$6:$K$370)," / ",SUMIF($E$6:$E$370,$E51,$K$6:$K415))</f>
        <v>0 / 0</v>
      </c>
      <c r="I51" s="28" t="str">
        <f>CONCATENATE(SUMIF($F$6:$F51,$F51,$K$6:$K415)," / ",SUMIF($F$6:$F$370,$F51,$K$6:$K415))</f>
        <v>15 / 15</v>
      </c>
      <c r="J51" s="28" t="str">
        <f>CONCATENATE(SUM($K$6:$K51)," / ",SUM($K$6:$K$370))</f>
        <v>112,7 / 180,895</v>
      </c>
      <c r="K51" s="245">
        <v>0</v>
      </c>
      <c r="L51" s="28"/>
      <c r="M51" s="28" t="str">
        <f>CONCATENATE(SUMIF($E$6:$E51,$E51,$P$6:$P$370)," / ",SUMIF($E$6:$E$370,$E51,$P$6:$P$370))</f>
        <v>0 / 0</v>
      </c>
      <c r="N51" s="28" t="str">
        <f ca="1">CONCATENATE(SUMIF($F$6:$F51,$F51,$P51)," / ",SUMIF($F$6:$F$370,$F51,$P$6:$P$370))</f>
        <v>0 / 0</v>
      </c>
      <c r="O51" s="28" t="str">
        <f t="shared" si="4"/>
        <v>0 / 30</v>
      </c>
      <c r="P51" s="245">
        <v>0</v>
      </c>
      <c r="Q51" s="28"/>
      <c r="R51" s="246">
        <v>0</v>
      </c>
      <c r="S51" s="28" t="str">
        <f>CONCATENATE(SUMIF($E$6:$E51,E51,$R$6:$R$370)," / ",SUMIF($E$6:$E$370,E51,$R$6:$R$370))</f>
        <v>0 / 0</v>
      </c>
      <c r="T51" s="28" t="str">
        <f>CONCATENATE(SUMIF($F$6:$F51,$F51,$R$6:$R$370)," / ",SUMIF($F$6:$F$370,$F51,$R$6:$R$370))</f>
        <v>0 / 0</v>
      </c>
      <c r="U51" s="28" t="str">
        <f>CONCATENATE(SUM($R$6:$R51)," / ",SUM($R$6:$R$370))</f>
        <v>0 / 0</v>
      </c>
    </row>
    <row r="52" spans="2:21" ht="13" thickBot="1">
      <c r="B52" s="28"/>
      <c r="C52" s="237">
        <f t="shared" si="5"/>
        <v>42416</v>
      </c>
      <c r="D52" s="35" t="str">
        <f t="shared" si="6"/>
        <v>Mardi</v>
      </c>
      <c r="E52" s="124">
        <f t="shared" si="2"/>
        <v>8</v>
      </c>
      <c r="F52" s="124">
        <f t="shared" si="3"/>
        <v>2</v>
      </c>
      <c r="G52" s="27"/>
      <c r="H52" s="28" t="str">
        <f>CONCATENATE(SUMIF($E$6:$E52,$E52,$K$6:$K$370)," / ",SUMIF($E$6:$E$370,$E52,$K$6:$K416))</f>
        <v>0 / 0</v>
      </c>
      <c r="I52" s="28" t="str">
        <f>CONCATENATE(SUMIF($F$6:$F52,$F52,$K$6:$K416)," / ",SUMIF($F$6:$F$370,$F52,$K$6:$K416))</f>
        <v>15 / 15</v>
      </c>
      <c r="J52" s="28" t="str">
        <f>CONCATENATE(SUM($K$6:$K52)," / ",SUM($K$6:$K$370))</f>
        <v>112,7 / 180,895</v>
      </c>
      <c r="K52" s="245">
        <v>0</v>
      </c>
      <c r="L52" s="28"/>
      <c r="M52" s="28" t="str">
        <f>CONCATENATE(SUMIF($E$6:$E52,$E52,$P$6:$P$370)," / ",SUMIF($E$6:$E$370,$E52,$P$6:$P$370))</f>
        <v>0 / 0</v>
      </c>
      <c r="N52" s="28" t="str">
        <f ca="1">CONCATENATE(SUMIF($F$6:$F52,$F52,$P52)," / ",SUMIF($F$6:$F$370,$F52,$P$6:$P$370))</f>
        <v>0 / 0</v>
      </c>
      <c r="O52" s="28" t="str">
        <f t="shared" si="4"/>
        <v>0 / 30</v>
      </c>
      <c r="P52" s="245">
        <v>0</v>
      </c>
      <c r="Q52" s="28"/>
      <c r="R52" s="246">
        <v>0</v>
      </c>
      <c r="S52" s="28" t="str">
        <f>CONCATENATE(SUMIF($E$6:$E52,E52,$R$6:$R$370)," / ",SUMIF($E$6:$E$370,E52,$R$6:$R$370))</f>
        <v>0 / 0</v>
      </c>
      <c r="T52" s="28" t="str">
        <f>CONCATENATE(SUMIF($F$6:$F52,$F52,$R$6:$R$370)," / ",SUMIF($F$6:$F$370,$F52,$R$6:$R$370))</f>
        <v>0 / 0</v>
      </c>
      <c r="U52" s="28" t="str">
        <f>CONCATENATE(SUM($R$6:$R52)," / ",SUM($R$6:$R$370))</f>
        <v>0 / 0</v>
      </c>
    </row>
    <row r="53" spans="2:21" ht="13" thickBot="1">
      <c r="B53" s="28"/>
      <c r="C53" s="237">
        <f t="shared" si="5"/>
        <v>42417</v>
      </c>
      <c r="D53" s="35" t="str">
        <f t="shared" si="6"/>
        <v>Mercredi</v>
      </c>
      <c r="E53" s="124">
        <f t="shared" si="2"/>
        <v>8</v>
      </c>
      <c r="F53" s="124">
        <f t="shared" si="3"/>
        <v>2</v>
      </c>
      <c r="G53" s="27"/>
      <c r="H53" s="28" t="str">
        <f>CONCATENATE(SUMIF($E$6:$E53,$E53,$K$6:$K$370)," / ",SUMIF($E$6:$E$370,$E53,$K$6:$K417))</f>
        <v>0 / 0</v>
      </c>
      <c r="I53" s="28" t="str">
        <f>CONCATENATE(SUMIF($F$6:$F53,$F53,$K$6:$K417)," / ",SUMIF($F$6:$F$370,$F53,$K$6:$K417))</f>
        <v>15 / 15</v>
      </c>
      <c r="J53" s="28" t="str">
        <f>CONCATENATE(SUM($K$6:$K53)," / ",SUM($K$6:$K$370))</f>
        <v>112,7 / 180,895</v>
      </c>
      <c r="K53" s="245">
        <v>0</v>
      </c>
      <c r="L53" s="28"/>
      <c r="M53" s="28" t="str">
        <f>CONCATENATE(SUMIF($E$6:$E53,$E53,$P$6:$P$370)," / ",SUMIF($E$6:$E$370,$E53,$P$6:$P$370))</f>
        <v>0 / 0</v>
      </c>
      <c r="N53" s="28" t="str">
        <f ca="1">CONCATENATE(SUMIF($F$6:$F53,$F53,$P53)," / ",SUMIF($F$6:$F$370,$F53,$P$6:$P$370))</f>
        <v>0 / 0</v>
      </c>
      <c r="O53" s="28" t="str">
        <f t="shared" si="4"/>
        <v>0 / 30</v>
      </c>
      <c r="P53" s="245">
        <v>0</v>
      </c>
      <c r="Q53" s="28"/>
      <c r="R53" s="246">
        <v>0</v>
      </c>
      <c r="S53" s="28" t="str">
        <f>CONCATENATE(SUMIF($E$6:$E53,E53,$R$6:$R$370)," / ",SUMIF($E$6:$E$370,E53,$R$6:$R$370))</f>
        <v>0 / 0</v>
      </c>
      <c r="T53" s="28" t="str">
        <f>CONCATENATE(SUMIF($F$6:$F53,$F53,$R$6:$R$370)," / ",SUMIF($F$6:$F$370,$F53,$R$6:$R$370))</f>
        <v>0 / 0</v>
      </c>
      <c r="U53" s="28" t="str">
        <f>CONCATENATE(SUM($R$6:$R53)," / ",SUM($R$6:$R$370))</f>
        <v>0 / 0</v>
      </c>
    </row>
    <row r="54" spans="2:21" ht="13" thickBot="1">
      <c r="B54" s="28"/>
      <c r="C54" s="237">
        <f t="shared" si="5"/>
        <v>42418</v>
      </c>
      <c r="D54" s="35" t="str">
        <f t="shared" si="6"/>
        <v>Jeudi</v>
      </c>
      <c r="E54" s="124">
        <f t="shared" si="2"/>
        <v>8</v>
      </c>
      <c r="F54" s="124">
        <f t="shared" si="3"/>
        <v>2</v>
      </c>
      <c r="G54" s="27"/>
      <c r="H54" s="28" t="str">
        <f>CONCATENATE(SUMIF($E$6:$E54,$E54,$K$6:$K$370)," / ",SUMIF($E$6:$E$370,$E54,$K$6:$K418))</f>
        <v>0 / 0</v>
      </c>
      <c r="I54" s="28" t="str">
        <f>CONCATENATE(SUMIF($F$6:$F54,$F54,$K$6:$K418)," / ",SUMIF($F$6:$F$370,$F54,$K$6:$K418))</f>
        <v>15 / 15</v>
      </c>
      <c r="J54" s="28" t="str">
        <f>CONCATENATE(SUM($K$6:$K54)," / ",SUM($K$6:$K$370))</f>
        <v>112,7 / 180,895</v>
      </c>
      <c r="K54" s="245">
        <v>0</v>
      </c>
      <c r="L54" s="28"/>
      <c r="M54" s="28" t="str">
        <f>CONCATENATE(SUMIF($E$6:$E54,$E54,$P$6:$P$370)," / ",SUMIF($E$6:$E$370,$E54,$P$6:$P$370))</f>
        <v>0 / 0</v>
      </c>
      <c r="N54" s="28" t="str">
        <f ca="1">CONCATENATE(SUMIF($F$6:$F54,$F54,$P54)," / ",SUMIF($F$6:$F$370,$F54,$P$6:$P$370))</f>
        <v>0 / 0</v>
      </c>
      <c r="O54" s="28" t="str">
        <f t="shared" si="4"/>
        <v>0 / 30</v>
      </c>
      <c r="P54" s="245">
        <v>0</v>
      </c>
      <c r="Q54" s="28"/>
      <c r="R54" s="246">
        <v>0</v>
      </c>
      <c r="S54" s="28" t="str">
        <f>CONCATENATE(SUMIF($E$6:$E54,E54,$R$6:$R$370)," / ",SUMIF($E$6:$E$370,E54,$R$6:$R$370))</f>
        <v>0 / 0</v>
      </c>
      <c r="T54" s="28" t="str">
        <f>CONCATENATE(SUMIF($F$6:$F54,$F54,$R$6:$R$370)," / ",SUMIF($F$6:$F$370,$F54,$R$6:$R$370))</f>
        <v>0 / 0</v>
      </c>
      <c r="U54" s="28" t="str">
        <f>CONCATENATE(SUM($R$6:$R54)," / ",SUM($R$6:$R$370))</f>
        <v>0 / 0</v>
      </c>
    </row>
    <row r="55" spans="2:21" ht="13" thickBot="1">
      <c r="B55" s="28"/>
      <c r="C55" s="237">
        <f t="shared" si="5"/>
        <v>42419</v>
      </c>
      <c r="D55" s="35" t="str">
        <f t="shared" si="6"/>
        <v>Vendredi</v>
      </c>
      <c r="E55" s="124">
        <f t="shared" si="2"/>
        <v>8</v>
      </c>
      <c r="F55" s="124">
        <f t="shared" si="3"/>
        <v>2</v>
      </c>
      <c r="G55" s="27"/>
      <c r="H55" s="28" t="str">
        <f>CONCATENATE(SUMIF($E$6:$E55,$E55,$K$6:$K$370)," / ",SUMIF($E$6:$E$370,$E55,$K$6:$K419))</f>
        <v>0 / 0</v>
      </c>
      <c r="I55" s="28" t="str">
        <f>CONCATENATE(SUMIF($F$6:$F55,$F55,$K$6:$K419)," / ",SUMIF($F$6:$F$370,$F55,$K$6:$K419))</f>
        <v>15 / 15</v>
      </c>
      <c r="J55" s="28" t="str">
        <f>CONCATENATE(SUM($K$6:$K55)," / ",SUM($K$6:$K$370))</f>
        <v>112,7 / 180,895</v>
      </c>
      <c r="K55" s="245">
        <v>0</v>
      </c>
      <c r="L55" s="28"/>
      <c r="M55" s="28" t="str">
        <f>CONCATENATE(SUMIF($E$6:$E55,$E55,$P$6:$P$370)," / ",SUMIF($E$6:$E$370,$E55,$P$6:$P$370))</f>
        <v>0 / 0</v>
      </c>
      <c r="N55" s="28" t="str">
        <f ca="1">CONCATENATE(SUMIF($F$6:$F55,$F55,$P55)," / ",SUMIF($F$6:$F$370,$F55,$P$6:$P$370))</f>
        <v>0 / 0</v>
      </c>
      <c r="O55" s="28" t="str">
        <f t="shared" si="4"/>
        <v>0 / 30</v>
      </c>
      <c r="P55" s="245">
        <v>0</v>
      </c>
      <c r="Q55" s="28"/>
      <c r="R55" s="246">
        <v>0</v>
      </c>
      <c r="S55" s="28" t="str">
        <f>CONCATENATE(SUMIF($E$6:$E55,E55,$R$6:$R$370)," / ",SUMIF($E$6:$E$370,E55,$R$6:$R$370))</f>
        <v>0 / 0</v>
      </c>
      <c r="T55" s="28" t="str">
        <f>CONCATENATE(SUMIF($F$6:$F55,$F55,$R$6:$R$370)," / ",SUMIF($F$6:$F$370,$F55,$R$6:$R$370))</f>
        <v>0 / 0</v>
      </c>
      <c r="U55" s="28" t="str">
        <f>CONCATENATE(SUM($R$6:$R55)," / ",SUM($R$6:$R$370))</f>
        <v>0 / 0</v>
      </c>
    </row>
    <row r="56" spans="2:21" ht="13" thickBot="1">
      <c r="B56" s="28"/>
      <c r="C56" s="237">
        <f t="shared" si="5"/>
        <v>42420</v>
      </c>
      <c r="D56" s="35" t="str">
        <f t="shared" si="6"/>
        <v>samedi</v>
      </c>
      <c r="E56" s="124">
        <f t="shared" si="2"/>
        <v>8</v>
      </c>
      <c r="F56" s="124">
        <f t="shared" si="3"/>
        <v>2</v>
      </c>
      <c r="G56" s="27"/>
      <c r="H56" s="28" t="str">
        <f>CONCATENATE(SUMIF($E$6:$E56,$E56,$K$6:$K$370)," / ",SUMIF($E$6:$E$370,$E56,$K$6:$K420))</f>
        <v>0 / 0</v>
      </c>
      <c r="I56" s="28" t="str">
        <f>CONCATENATE(SUMIF($F$6:$F56,$F56,$K$6:$K420)," / ",SUMIF($F$6:$F$370,$F56,$K$6:$K420))</f>
        <v>15 / 15</v>
      </c>
      <c r="J56" s="28" t="str">
        <f>CONCATENATE(SUM($K$6:$K56)," / ",SUM($K$6:$K$370))</f>
        <v>112,7 / 180,895</v>
      </c>
      <c r="K56" s="245">
        <v>0</v>
      </c>
      <c r="L56" s="28"/>
      <c r="M56" s="28" t="str">
        <f>CONCATENATE(SUMIF($E$6:$E56,$E56,$P$6:$P$370)," / ",SUMIF($E$6:$E$370,$E56,$P$6:$P$370))</f>
        <v>0 / 0</v>
      </c>
      <c r="N56" s="28" t="str">
        <f ca="1">CONCATENATE(SUMIF($F$6:$F56,$F56,$P56)," / ",SUMIF($F$6:$F$370,$F56,$P$6:$P$370))</f>
        <v>0 / 0</v>
      </c>
      <c r="O56" s="28" t="str">
        <f t="shared" si="4"/>
        <v>0 / 30</v>
      </c>
      <c r="P56" s="245">
        <v>0</v>
      </c>
      <c r="Q56" s="28"/>
      <c r="R56" s="246">
        <v>0</v>
      </c>
      <c r="S56" s="28" t="str">
        <f>CONCATENATE(SUMIF($E$6:$E56,E56,$R$6:$R$370)," / ",SUMIF($E$6:$E$370,E56,$R$6:$R$370))</f>
        <v>0 / 0</v>
      </c>
      <c r="T56" s="28" t="str">
        <f>CONCATENATE(SUMIF($F$6:$F56,$F56,$R$6:$R$370)," / ",SUMIF($F$6:$F$370,$F56,$R$6:$R$370))</f>
        <v>0 / 0</v>
      </c>
      <c r="U56" s="28" t="str">
        <f>CONCATENATE(SUM($R$6:$R56)," / ",SUM($R$6:$R$370))</f>
        <v>0 / 0</v>
      </c>
    </row>
    <row r="57" spans="2:21" ht="13" thickBot="1">
      <c r="B57" s="28"/>
      <c r="C57" s="237">
        <f t="shared" si="5"/>
        <v>42421</v>
      </c>
      <c r="D57" s="35" t="str">
        <f t="shared" si="6"/>
        <v>Dimanche</v>
      </c>
      <c r="E57" s="124">
        <f t="shared" si="2"/>
        <v>9</v>
      </c>
      <c r="F57" s="124">
        <f t="shared" si="3"/>
        <v>2</v>
      </c>
      <c r="G57" s="27"/>
      <c r="H57" s="28" t="str">
        <f>CONCATENATE(SUMIF($E$6:$E57,$E57,$K$6:$K$370)," / ",SUMIF($E$6:$E$370,$E57,$K$6:$K421))</f>
        <v>0 / 0</v>
      </c>
      <c r="I57" s="28" t="str">
        <f>CONCATENATE(SUMIF($F$6:$F57,$F57,$K$6:$K421)," / ",SUMIF($F$6:$F$370,$F57,$K$6:$K421))</f>
        <v>15 / 15</v>
      </c>
      <c r="J57" s="28" t="str">
        <f>CONCATENATE(SUM($K$6:$K57)," / ",SUM($K$6:$K$370))</f>
        <v>112,7 / 180,895</v>
      </c>
      <c r="K57" s="245">
        <v>0</v>
      </c>
      <c r="L57" s="28"/>
      <c r="M57" s="28" t="str">
        <f>CONCATENATE(SUMIF($E$6:$E57,$E57,$P$6:$P$370)," / ",SUMIF($E$6:$E$370,$E57,$P$6:$P$370))</f>
        <v>0 / 0</v>
      </c>
      <c r="N57" s="28" t="str">
        <f ca="1">CONCATENATE(SUMIF($F$6:$F57,$F57,$P57)," / ",SUMIF($F$6:$F$370,$F57,$P$6:$P$370))</f>
        <v>0 / 0</v>
      </c>
      <c r="O57" s="28" t="str">
        <f t="shared" si="4"/>
        <v>0 / 30</v>
      </c>
      <c r="P57" s="245">
        <v>0</v>
      </c>
      <c r="Q57" s="28"/>
      <c r="R57" s="246">
        <v>0</v>
      </c>
      <c r="S57" s="28" t="str">
        <f>CONCATENATE(SUMIF($E$6:$E57,E57,$R$6:$R$370)," / ",SUMIF($E$6:$E$370,E57,$R$6:$R$370))</f>
        <v>0 / 0</v>
      </c>
      <c r="T57" s="28" t="str">
        <f>CONCATENATE(SUMIF($F$6:$F57,$F57,$R$6:$R$370)," / ",SUMIF($F$6:$F$370,$F57,$R$6:$R$370))</f>
        <v>0 / 0</v>
      </c>
      <c r="U57" s="28" t="str">
        <f>CONCATENATE(SUM($R$6:$R57)," / ",SUM($R$6:$R$370))</f>
        <v>0 / 0</v>
      </c>
    </row>
    <row r="58" spans="2:21" ht="13" thickBot="1">
      <c r="B58" s="28"/>
      <c r="C58" s="237">
        <f t="shared" si="5"/>
        <v>42422</v>
      </c>
      <c r="D58" s="35" t="str">
        <f t="shared" si="6"/>
        <v>Lundi</v>
      </c>
      <c r="E58" s="124">
        <f t="shared" si="2"/>
        <v>9</v>
      </c>
      <c r="F58" s="124">
        <f t="shared" si="3"/>
        <v>2</v>
      </c>
      <c r="G58" s="27"/>
      <c r="H58" s="28" t="str">
        <f>CONCATENATE(SUMIF($E$6:$E58,$E58,$K$6:$K$370)," / ",SUMIF($E$6:$E$370,$E58,$K$6:$K422))</f>
        <v>0 / 0</v>
      </c>
      <c r="I58" s="28" t="str">
        <f>CONCATENATE(SUMIF($F$6:$F58,$F58,$K$6:$K422)," / ",SUMIF($F$6:$F$370,$F58,$K$6:$K422))</f>
        <v>15 / 15</v>
      </c>
      <c r="J58" s="28" t="str">
        <f>CONCATENATE(SUM($K$6:$K58)," / ",SUM($K$6:$K$370))</f>
        <v>112,7 / 180,895</v>
      </c>
      <c r="K58" s="245">
        <v>0</v>
      </c>
      <c r="L58" s="28"/>
      <c r="M58" s="28" t="str">
        <f>CONCATENATE(SUMIF($E$6:$E58,$E58,$P$6:$P$370)," / ",SUMIF($E$6:$E$370,$E58,$P$6:$P$370))</f>
        <v>0 / 0</v>
      </c>
      <c r="N58" s="28" t="str">
        <f ca="1">CONCATENATE(SUMIF($F$6:$F58,$F58,$P58)," / ",SUMIF($F$6:$F$370,$F58,$P$6:$P$370))</f>
        <v>0 / 0</v>
      </c>
      <c r="O58" s="28" t="str">
        <f t="shared" si="4"/>
        <v>0 / 30</v>
      </c>
      <c r="P58" s="245">
        <v>0</v>
      </c>
      <c r="Q58" s="28"/>
      <c r="R58" s="246">
        <v>0</v>
      </c>
      <c r="S58" s="28" t="str">
        <f>CONCATENATE(SUMIF($E$6:$E58,E58,$R$6:$R$370)," / ",SUMIF($E$6:$E$370,E58,$R$6:$R$370))</f>
        <v>0 / 0</v>
      </c>
      <c r="T58" s="28" t="str">
        <f>CONCATENATE(SUMIF($F$6:$F58,$F58,$R$6:$R$370)," / ",SUMIF($F$6:$F$370,$F58,$R$6:$R$370))</f>
        <v>0 / 0</v>
      </c>
      <c r="U58" s="28" t="str">
        <f>CONCATENATE(SUM($R$6:$R58)," / ",SUM($R$6:$R$370))</f>
        <v>0 / 0</v>
      </c>
    </row>
    <row r="59" spans="2:21" ht="13" thickBot="1">
      <c r="B59" s="28"/>
      <c r="C59" s="237">
        <f t="shared" si="5"/>
        <v>42423</v>
      </c>
      <c r="D59" s="35" t="str">
        <f t="shared" si="6"/>
        <v>Mardi</v>
      </c>
      <c r="E59" s="124">
        <f t="shared" si="2"/>
        <v>9</v>
      </c>
      <c r="F59" s="124">
        <f t="shared" si="3"/>
        <v>2</v>
      </c>
      <c r="G59" s="27"/>
      <c r="H59" s="28" t="str">
        <f>CONCATENATE(SUMIF($E$6:$E59,$E59,$K$6:$K$370)," / ",SUMIF($E$6:$E$370,$E59,$K$6:$K423))</f>
        <v>0 / 0</v>
      </c>
      <c r="I59" s="28" t="str">
        <f>CONCATENATE(SUMIF($F$6:$F59,$F59,$K$6:$K423)," / ",SUMIF($F$6:$F$370,$F59,$K$6:$K423))</f>
        <v>15 / 15</v>
      </c>
      <c r="J59" s="28" t="str">
        <f>CONCATENATE(SUM($K$6:$K59)," / ",SUM($K$6:$K$370))</f>
        <v>112,7 / 180,895</v>
      </c>
      <c r="K59" s="245">
        <v>0</v>
      </c>
      <c r="L59" s="28"/>
      <c r="M59" s="28" t="str">
        <f>CONCATENATE(SUMIF($E$6:$E59,$E59,$P$6:$P$370)," / ",SUMIF($E$6:$E$370,$E59,$P$6:$P$370))</f>
        <v>0 / 0</v>
      </c>
      <c r="N59" s="28" t="str">
        <f ca="1">CONCATENATE(SUMIF($F$6:$F59,$F59,$P59)," / ",SUMIF($F$6:$F$370,$F59,$P$6:$P$370))</f>
        <v>0 / 0</v>
      </c>
      <c r="O59" s="28" t="str">
        <f t="shared" si="4"/>
        <v>0 / 30</v>
      </c>
      <c r="P59" s="245">
        <v>0</v>
      </c>
      <c r="Q59" s="28"/>
      <c r="R59" s="246">
        <v>0</v>
      </c>
      <c r="S59" s="28" t="str">
        <f>CONCATENATE(SUMIF($E$6:$E59,E59,$R$6:$R$370)," / ",SUMIF($E$6:$E$370,E59,$R$6:$R$370))</f>
        <v>0 / 0</v>
      </c>
      <c r="T59" s="28" t="str">
        <f>CONCATENATE(SUMIF($F$6:$F59,$F59,$R$6:$R$370)," / ",SUMIF($F$6:$F$370,$F59,$R$6:$R$370))</f>
        <v>0 / 0</v>
      </c>
      <c r="U59" s="28" t="str">
        <f>CONCATENATE(SUM($R$6:$R59)," / ",SUM($R$6:$R$370))</f>
        <v>0 / 0</v>
      </c>
    </row>
    <row r="60" spans="2:21" ht="13" thickBot="1">
      <c r="B60" s="28"/>
      <c r="C60" s="237">
        <f t="shared" si="5"/>
        <v>42424</v>
      </c>
      <c r="D60" s="35" t="str">
        <f t="shared" si="6"/>
        <v>Mercredi</v>
      </c>
      <c r="E60" s="124">
        <f t="shared" si="2"/>
        <v>9</v>
      </c>
      <c r="F60" s="124">
        <f t="shared" si="3"/>
        <v>2</v>
      </c>
      <c r="G60" s="27"/>
      <c r="H60" s="28" t="str">
        <f>CONCATENATE(SUMIF($E$6:$E60,$E60,$K$6:$K$370)," / ",SUMIF($E$6:$E$370,$E60,$K$6:$K424))</f>
        <v>0 / 0</v>
      </c>
      <c r="I60" s="28" t="str">
        <f>CONCATENATE(SUMIF($F$6:$F60,$F60,$K$6:$K424)," / ",SUMIF($F$6:$F$370,$F60,$K$6:$K424))</f>
        <v>15 / 15</v>
      </c>
      <c r="J60" s="28" t="str">
        <f>CONCATENATE(SUM($K$6:$K60)," / ",SUM($K$6:$K$370))</f>
        <v>112,7 / 180,895</v>
      </c>
      <c r="K60" s="245">
        <v>0</v>
      </c>
      <c r="L60" s="28"/>
      <c r="M60" s="28" t="str">
        <f>CONCATENATE(SUMIF($E$6:$E60,$E60,$P$6:$P$370)," / ",SUMIF($E$6:$E$370,$E60,$P$6:$P$370))</f>
        <v>0 / 0</v>
      </c>
      <c r="N60" s="28" t="str">
        <f ca="1">CONCATENATE(SUMIF($F$6:$F60,$F60,$P60)," / ",SUMIF($F$6:$F$370,$F60,$P$6:$P$370))</f>
        <v>0 / 0</v>
      </c>
      <c r="O60" s="28" t="str">
        <f t="shared" si="4"/>
        <v>0 / 30</v>
      </c>
      <c r="P60" s="245">
        <v>0</v>
      </c>
      <c r="Q60" s="28"/>
      <c r="R60" s="246">
        <v>0</v>
      </c>
      <c r="S60" s="28" t="str">
        <f>CONCATENATE(SUMIF($E$6:$E60,E60,$R$6:$R$370)," / ",SUMIF($E$6:$E$370,E60,$R$6:$R$370))</f>
        <v>0 / 0</v>
      </c>
      <c r="T60" s="28" t="str">
        <f>CONCATENATE(SUMIF($F$6:$F60,$F60,$R$6:$R$370)," / ",SUMIF($F$6:$F$370,$F60,$R$6:$R$370))</f>
        <v>0 / 0</v>
      </c>
      <c r="U60" s="28" t="str">
        <f>CONCATENATE(SUM($R$6:$R60)," / ",SUM($R$6:$R$370))</f>
        <v>0 / 0</v>
      </c>
    </row>
    <row r="61" spans="2:21" ht="13" thickBot="1">
      <c r="B61" s="28"/>
      <c r="C61" s="237">
        <f t="shared" si="5"/>
        <v>42425</v>
      </c>
      <c r="D61" s="35" t="str">
        <f t="shared" si="6"/>
        <v>Jeudi</v>
      </c>
      <c r="E61" s="124">
        <f t="shared" si="2"/>
        <v>9</v>
      </c>
      <c r="F61" s="124">
        <f t="shared" si="3"/>
        <v>2</v>
      </c>
      <c r="G61" s="27"/>
      <c r="H61" s="28" t="str">
        <f>CONCATENATE(SUMIF($E$6:$E61,$E61,$K$6:$K$370)," / ",SUMIF($E$6:$E$370,$E61,$K$6:$K425))</f>
        <v>0 / 0</v>
      </c>
      <c r="I61" s="28" t="str">
        <f>CONCATENATE(SUMIF($F$6:$F61,$F61,$K$6:$K425)," / ",SUMIF($F$6:$F$370,$F61,$K$6:$K425))</f>
        <v>15 / 15</v>
      </c>
      <c r="J61" s="28" t="str">
        <f>CONCATENATE(SUM($K$6:$K61)," / ",SUM($K$6:$K$370))</f>
        <v>112,7 / 180,895</v>
      </c>
      <c r="K61" s="245">
        <v>0</v>
      </c>
      <c r="L61" s="28"/>
      <c r="M61" s="28" t="str">
        <f>CONCATENATE(SUMIF($E$6:$E61,$E61,$P$6:$P$370)," / ",SUMIF($E$6:$E$370,$E61,$P$6:$P$370))</f>
        <v>0 / 0</v>
      </c>
      <c r="N61" s="28" t="str">
        <f ca="1">CONCATENATE(SUMIF($F$6:$F61,$F61,$P61)," / ",SUMIF($F$6:$F$370,$F61,$P$6:$P$370))</f>
        <v>0 / 0</v>
      </c>
      <c r="O61" s="28" t="str">
        <f t="shared" si="4"/>
        <v>0 / 30</v>
      </c>
      <c r="P61" s="245">
        <v>0</v>
      </c>
      <c r="Q61" s="28"/>
      <c r="R61" s="246">
        <v>0</v>
      </c>
      <c r="S61" s="28" t="str">
        <f>CONCATENATE(SUMIF($E$6:$E61,E61,$R$6:$R$370)," / ",SUMIF($E$6:$E$370,E61,$R$6:$R$370))</f>
        <v>0 / 0</v>
      </c>
      <c r="T61" s="28" t="str">
        <f>CONCATENATE(SUMIF($F$6:$F61,$F61,$R$6:$R$370)," / ",SUMIF($F$6:$F$370,$F61,$R$6:$R$370))</f>
        <v>0 / 0</v>
      </c>
      <c r="U61" s="28" t="str">
        <f>CONCATENATE(SUM($R$6:$R61)," / ",SUM($R$6:$R$370))</f>
        <v>0 / 0</v>
      </c>
    </row>
    <row r="62" spans="2:21" ht="13" thickBot="1">
      <c r="B62" s="28"/>
      <c r="C62" s="237">
        <f t="shared" si="5"/>
        <v>42426</v>
      </c>
      <c r="D62" s="35" t="str">
        <f t="shared" si="6"/>
        <v>Vendredi</v>
      </c>
      <c r="E62" s="124">
        <f t="shared" si="2"/>
        <v>9</v>
      </c>
      <c r="F62" s="124">
        <f t="shared" si="3"/>
        <v>2</v>
      </c>
      <c r="G62" s="27"/>
      <c r="H62" s="28" t="str">
        <f>CONCATENATE(SUMIF($E$6:$E62,$E62,$K$6:$K$370)," / ",SUMIF($E$6:$E$370,$E62,$K$6:$K426))</f>
        <v>0 / 0</v>
      </c>
      <c r="I62" s="28" t="str">
        <f>CONCATENATE(SUMIF($F$6:$F62,$F62,$K$6:$K426)," / ",SUMIF($F$6:$F$370,$F62,$K$6:$K426))</f>
        <v>15 / 15</v>
      </c>
      <c r="J62" s="28" t="str">
        <f>CONCATENATE(SUM($K$6:$K62)," / ",SUM($K$6:$K$370))</f>
        <v>112,7 / 180,895</v>
      </c>
      <c r="K62" s="245">
        <v>0</v>
      </c>
      <c r="L62" s="28"/>
      <c r="M62" s="28" t="str">
        <f>CONCATENATE(SUMIF($E$6:$E62,$E62,$P$6:$P$370)," / ",SUMIF($E$6:$E$370,$E62,$P$6:$P$370))</f>
        <v>0 / 0</v>
      </c>
      <c r="N62" s="28" t="str">
        <f ca="1">CONCATENATE(SUMIF($F$6:$F62,$F62,$P62)," / ",SUMIF($F$6:$F$370,$F62,$P$6:$P$370))</f>
        <v>0 / 0</v>
      </c>
      <c r="O62" s="28" t="str">
        <f t="shared" si="4"/>
        <v>0 / 30</v>
      </c>
      <c r="P62" s="245">
        <v>0</v>
      </c>
      <c r="Q62" s="28"/>
      <c r="R62" s="246">
        <v>0</v>
      </c>
      <c r="S62" s="28" t="str">
        <f>CONCATENATE(SUMIF($E$6:$E62,E62,$R$6:$R$370)," / ",SUMIF($E$6:$E$370,E62,$R$6:$R$370))</f>
        <v>0 / 0</v>
      </c>
      <c r="T62" s="28" t="str">
        <f>CONCATENATE(SUMIF($F$6:$F62,$F62,$R$6:$R$370)," / ",SUMIF($F$6:$F$370,$F62,$R$6:$R$370))</f>
        <v>0 / 0</v>
      </c>
      <c r="U62" s="28" t="str">
        <f>CONCATENATE(SUM($R$6:$R62)," / ",SUM($R$6:$R$370))</f>
        <v>0 / 0</v>
      </c>
    </row>
    <row r="63" spans="2:21" ht="13" thickBot="1">
      <c r="B63" s="28"/>
      <c r="C63" s="237">
        <f t="shared" si="5"/>
        <v>42427</v>
      </c>
      <c r="D63" s="35" t="str">
        <f t="shared" si="6"/>
        <v>samedi</v>
      </c>
      <c r="E63" s="124">
        <f t="shared" si="2"/>
        <v>9</v>
      </c>
      <c r="F63" s="124">
        <f t="shared" si="3"/>
        <v>2</v>
      </c>
      <c r="G63" s="27"/>
      <c r="H63" s="28" t="str">
        <f>CONCATENATE(SUMIF($E$6:$E63,$E63,$K$6:$K$370)," / ",SUMIF($E$6:$E$370,$E63,$K$6:$K427))</f>
        <v>0 / 0</v>
      </c>
      <c r="I63" s="28" t="str">
        <f>CONCATENATE(SUMIF($F$6:$F63,$F63,$K$6:$K427)," / ",SUMIF($F$6:$F$370,$F63,$K$6:$K427))</f>
        <v>15 / 15</v>
      </c>
      <c r="J63" s="28" t="str">
        <f>CONCATENATE(SUM($K$6:$K63)," / ",SUM($K$6:$K$370))</f>
        <v>112,7 / 180,895</v>
      </c>
      <c r="K63" s="245">
        <v>0</v>
      </c>
      <c r="L63" s="28"/>
      <c r="M63" s="28" t="str">
        <f>CONCATENATE(SUMIF($E$6:$E63,$E63,$P$6:$P$370)," / ",SUMIF($E$6:$E$370,$E63,$P$6:$P$370))</f>
        <v>0 / 0</v>
      </c>
      <c r="N63" s="28" t="str">
        <f ca="1">CONCATENATE(SUMIF($F$6:$F63,$F63,$P63)," / ",SUMIF($F$6:$F$370,$F63,$P$6:$P$370))</f>
        <v>0 / 0</v>
      </c>
      <c r="O63" s="28" t="str">
        <f t="shared" si="4"/>
        <v>0 / 30</v>
      </c>
      <c r="P63" s="245">
        <v>0</v>
      </c>
      <c r="Q63" s="28"/>
      <c r="R63" s="246">
        <v>0</v>
      </c>
      <c r="S63" s="28" t="str">
        <f>CONCATENATE(SUMIF($E$6:$E63,E63,$R$6:$R$370)," / ",SUMIF($E$6:$E$370,E63,$R$6:$R$370))</f>
        <v>0 / 0</v>
      </c>
      <c r="T63" s="28" t="str">
        <f>CONCATENATE(SUMIF($F$6:$F63,$F63,$R$6:$R$370)," / ",SUMIF($F$6:$F$370,$F63,$R$6:$R$370))</f>
        <v>0 / 0</v>
      </c>
      <c r="U63" s="28" t="str">
        <f>CONCATENATE(SUM($R$6:$R63)," / ",SUM($R$6:$R$370))</f>
        <v>0 / 0</v>
      </c>
    </row>
    <row r="64" spans="2:21" ht="13" thickBot="1">
      <c r="B64" s="28"/>
      <c r="C64" s="237">
        <f t="shared" si="5"/>
        <v>42428</v>
      </c>
      <c r="D64" s="35" t="str">
        <f t="shared" si="6"/>
        <v>Dimanche</v>
      </c>
      <c r="E64" s="124">
        <f t="shared" si="2"/>
        <v>10</v>
      </c>
      <c r="F64" s="124">
        <f t="shared" si="3"/>
        <v>2</v>
      </c>
      <c r="G64" s="27"/>
      <c r="H64" s="28" t="str">
        <f>CONCATENATE(SUMIF($E$6:$E64,$E64,$K$6:$K$370)," / ",SUMIF($E$6:$E$370,$E64,$K$6:$K428))</f>
        <v>0 / 0</v>
      </c>
      <c r="I64" s="28" t="str">
        <f>CONCATENATE(SUMIF($F$6:$F64,$F64,$K$6:$K428)," / ",SUMIF($F$6:$F$370,$F64,$K$6:$K428))</f>
        <v>15 / 15</v>
      </c>
      <c r="J64" s="28" t="str">
        <f>CONCATENATE(SUM($K$6:$K64)," / ",SUM($K$6:$K$370))</f>
        <v>112,7 / 180,895</v>
      </c>
      <c r="K64" s="245">
        <v>0</v>
      </c>
      <c r="L64" s="28"/>
      <c r="M64" s="28" t="str">
        <f>CONCATENATE(SUMIF($E$6:$E64,$E64,$P$6:$P$370)," / ",SUMIF($E$6:$E$370,$E64,$P$6:$P$370))</f>
        <v>0 / 0</v>
      </c>
      <c r="N64" s="28" t="str">
        <f ca="1">CONCATENATE(SUMIF($F$6:$F64,$F64,$P64)," / ",SUMIF($F$6:$F$370,$F64,$P$6:$P$370))</f>
        <v>0 / 0</v>
      </c>
      <c r="O64" s="28" t="str">
        <f t="shared" si="4"/>
        <v>0 / 30</v>
      </c>
      <c r="P64" s="245">
        <v>0</v>
      </c>
      <c r="Q64" s="28"/>
      <c r="R64" s="246">
        <v>0</v>
      </c>
      <c r="S64" s="28" t="str">
        <f>CONCATENATE(SUMIF($E$6:$E64,E64,$R$6:$R$370)," / ",SUMIF($E$6:$E$370,E64,$R$6:$R$370))</f>
        <v>0 / 0</v>
      </c>
      <c r="T64" s="28" t="str">
        <f>CONCATENATE(SUMIF($F$6:$F64,$F64,$R$6:$R$370)," / ",SUMIF($F$6:$F$370,$F64,$R$6:$R$370))</f>
        <v>0 / 0</v>
      </c>
      <c r="U64" s="28" t="str">
        <f>CONCATENATE(SUM($R$6:$R64)," / ",SUM($R$6:$R$370))</f>
        <v>0 / 0</v>
      </c>
    </row>
    <row r="65" spans="2:21" ht="13" thickBot="1">
      <c r="B65" s="28"/>
      <c r="C65" s="237">
        <f t="shared" si="5"/>
        <v>42429</v>
      </c>
      <c r="D65" s="35" t="str">
        <f t="shared" si="6"/>
        <v>Lundi</v>
      </c>
      <c r="E65" s="124">
        <f t="shared" si="2"/>
        <v>10</v>
      </c>
      <c r="F65" s="124">
        <f t="shared" si="3"/>
        <v>2</v>
      </c>
      <c r="G65" s="27"/>
      <c r="H65" s="28" t="str">
        <f>CONCATENATE(SUMIF($E$6:$E65,$E65,$K$6:$K$370)," / ",SUMIF($E$6:$E$370,$E65,$K$6:$K429))</f>
        <v>0 / 0</v>
      </c>
      <c r="I65" s="28" t="str">
        <f>CONCATENATE(SUMIF($F$6:$F65,$F65,$K$6:$K429)," / ",SUMIF($F$6:$F$370,$F65,$K$6:$K429))</f>
        <v>15 / 15</v>
      </c>
      <c r="J65" s="28" t="str">
        <f>CONCATENATE(SUM($K$6:$K65)," / ",SUM($K$6:$K$370))</f>
        <v>112,7 / 180,895</v>
      </c>
      <c r="K65" s="245">
        <v>0</v>
      </c>
      <c r="L65" s="28"/>
      <c r="M65" s="28" t="str">
        <f>CONCATENATE(SUMIF($E$6:$E65,$E65,$P$6:$P$370)," / ",SUMIF($E$6:$E$370,$E65,$P$6:$P$370))</f>
        <v>0 / 0</v>
      </c>
      <c r="N65" s="28" t="str">
        <f ca="1">CONCATENATE(SUMIF($F$6:$F65,$F65,$P65)," / ",SUMIF($F$6:$F$370,$F65,$P$6:$P$370))</f>
        <v>0 / 0</v>
      </c>
      <c r="O65" s="28" t="str">
        <f t="shared" si="4"/>
        <v>0 / 30</v>
      </c>
      <c r="P65" s="245">
        <v>0</v>
      </c>
      <c r="Q65" s="28"/>
      <c r="R65" s="246">
        <v>0</v>
      </c>
      <c r="S65" s="28" t="str">
        <f>CONCATENATE(SUMIF($E$6:$E65,E65,$R$6:$R$370)," / ",SUMIF($E$6:$E$370,E65,$R$6:$R$370))</f>
        <v>0 / 0</v>
      </c>
      <c r="T65" s="28" t="str">
        <f>CONCATENATE(SUMIF($F$6:$F65,$F65,$R$6:$R$370)," / ",SUMIF($F$6:$F$370,$F65,$R$6:$R$370))</f>
        <v>0 / 0</v>
      </c>
      <c r="U65" s="28" t="str">
        <f>CONCATENATE(SUM($R$6:$R65)," / ",SUM($R$6:$R$370))</f>
        <v>0 / 0</v>
      </c>
    </row>
    <row r="66" spans="2:21" ht="13" thickBot="1">
      <c r="B66" s="28"/>
      <c r="C66" s="237">
        <f t="shared" si="5"/>
        <v>42430</v>
      </c>
      <c r="D66" s="35" t="str">
        <f t="shared" si="6"/>
        <v>Mardi</v>
      </c>
      <c r="E66" s="124">
        <f t="shared" si="2"/>
        <v>10</v>
      </c>
      <c r="F66" s="124">
        <f t="shared" si="3"/>
        <v>3</v>
      </c>
      <c r="G66" s="27"/>
      <c r="H66" s="28" t="str">
        <f>CONCATENATE(SUMIF($E$6:$E66,$E66,$K$6:$K$370)," / ",SUMIF($E$6:$E$370,$E66,$K$6:$K430))</f>
        <v>0 / 0</v>
      </c>
      <c r="I66" s="28" t="str">
        <f>CONCATENATE(SUMIF($F$6:$F66,$F66,$K$6:$K430)," / ",SUMIF($F$6:$F$370,$F66,$K$6:$K430))</f>
        <v>0 / 68,195</v>
      </c>
      <c r="J66" s="28" t="str">
        <f>CONCATENATE(SUM($K$6:$K66)," / ",SUM($K$6:$K$370))</f>
        <v>112,7 / 180,895</v>
      </c>
      <c r="K66" s="245">
        <v>0</v>
      </c>
      <c r="L66" s="28"/>
      <c r="M66" s="28" t="str">
        <f>CONCATENATE(SUMIF($E$6:$E66,$E66,$P$6:$P$370)," / ",SUMIF($E$6:$E$370,$E66,$P$6:$P$370))</f>
        <v>0 / 0</v>
      </c>
      <c r="N66" s="28" t="str">
        <f ca="1">CONCATENATE(SUMIF($F$6:$F66,$F66,$P66)," / ",SUMIF($F$6:$F$370,$F66,$P$6:$P$370))</f>
        <v>0 / 0</v>
      </c>
      <c r="O66" s="28" t="str">
        <f t="shared" si="4"/>
        <v>0 / 30</v>
      </c>
      <c r="P66" s="245">
        <v>0</v>
      </c>
      <c r="Q66" s="28"/>
      <c r="R66" s="246">
        <v>0</v>
      </c>
      <c r="S66" s="28" t="str">
        <f>CONCATENATE(SUMIF($E$6:$E66,E66,$R$6:$R$370)," / ",SUMIF($E$6:$E$370,E66,$R$6:$R$370))</f>
        <v>0 / 0</v>
      </c>
      <c r="T66" s="28" t="str">
        <f>CONCATENATE(SUMIF($F$6:$F66,$F66,$R$6:$R$370)," / ",SUMIF($F$6:$F$370,$F66,$R$6:$R$370))</f>
        <v>0 / 0</v>
      </c>
      <c r="U66" s="28" t="str">
        <f>CONCATENATE(SUM($R$6:$R66)," / ",SUM($R$6:$R$370))</f>
        <v>0 / 0</v>
      </c>
    </row>
    <row r="67" spans="2:21" ht="13" thickBot="1">
      <c r="B67" s="28"/>
      <c r="C67" s="237">
        <f t="shared" si="5"/>
        <v>42431</v>
      </c>
      <c r="D67" s="35" t="str">
        <f t="shared" si="6"/>
        <v>Mercredi</v>
      </c>
      <c r="E67" s="124">
        <f t="shared" si="2"/>
        <v>10</v>
      </c>
      <c r="F67" s="124">
        <f t="shared" si="3"/>
        <v>3</v>
      </c>
      <c r="G67" s="27"/>
      <c r="H67" s="28" t="str">
        <f>CONCATENATE(SUMIF($E$6:$E67,$E67,$K$6:$K$370)," / ",SUMIF($E$6:$E$370,$E67,$K$6:$K431))</f>
        <v>0 / 0</v>
      </c>
      <c r="I67" s="28" t="str">
        <f>CONCATENATE(SUMIF($F$6:$F67,$F67,$K$6:$K431)," / ",SUMIF($F$6:$F$370,$F67,$K$6:$K431))</f>
        <v>0 / 68,195</v>
      </c>
      <c r="J67" s="28" t="str">
        <f>CONCATENATE(SUM($K$6:$K67)," / ",SUM($K$6:$K$370))</f>
        <v>112,7 / 180,895</v>
      </c>
      <c r="K67" s="245">
        <v>0</v>
      </c>
      <c r="L67" s="28"/>
      <c r="M67" s="28" t="str">
        <f>CONCATENATE(SUMIF($E$6:$E67,$E67,$P$6:$P$370)," / ",SUMIF($E$6:$E$370,$E67,$P$6:$P$370))</f>
        <v>0 / 0</v>
      </c>
      <c r="N67" s="28" t="str">
        <f ca="1">CONCATENATE(SUMIF($F$6:$F67,$F67,$P67)," / ",SUMIF($F$6:$F$370,$F67,$P$6:$P$370))</f>
        <v>0 / 0</v>
      </c>
      <c r="O67" s="28" t="str">
        <f t="shared" si="4"/>
        <v>0 / 30</v>
      </c>
      <c r="P67" s="245">
        <v>0</v>
      </c>
      <c r="Q67" s="28"/>
      <c r="R67" s="246">
        <v>0</v>
      </c>
      <c r="S67" s="28" t="str">
        <f>CONCATENATE(SUMIF($E$6:$E67,E67,$R$6:$R$370)," / ",SUMIF($E$6:$E$370,E67,$R$6:$R$370))</f>
        <v>0 / 0</v>
      </c>
      <c r="T67" s="28" t="str">
        <f>CONCATENATE(SUMIF($F$6:$F67,$F67,$R$6:$R$370)," / ",SUMIF($F$6:$F$370,$F67,$R$6:$R$370))</f>
        <v>0 / 0</v>
      </c>
      <c r="U67" s="28" t="str">
        <f>CONCATENATE(SUM($R$6:$R67)," / ",SUM($R$6:$R$370))</f>
        <v>0 / 0</v>
      </c>
    </row>
    <row r="68" spans="2:21" ht="13" thickBot="1">
      <c r="B68" s="28"/>
      <c r="C68" s="237">
        <f t="shared" si="5"/>
        <v>42432</v>
      </c>
      <c r="D68" s="35" t="str">
        <f t="shared" si="6"/>
        <v>Jeudi</v>
      </c>
      <c r="E68" s="124">
        <f t="shared" si="2"/>
        <v>10</v>
      </c>
      <c r="F68" s="124">
        <f t="shared" si="3"/>
        <v>3</v>
      </c>
      <c r="G68" s="27"/>
      <c r="H68" s="28" t="str">
        <f>CONCATENATE(SUMIF($E$6:$E68,$E68,$K$6:$K$370)," / ",SUMIF($E$6:$E$370,$E68,$K$6:$K432))</f>
        <v>0 / 0</v>
      </c>
      <c r="I68" s="28" t="str">
        <f>CONCATENATE(SUMIF($F$6:$F68,$F68,$K$6:$K432)," / ",SUMIF($F$6:$F$370,$F68,$K$6:$K432))</f>
        <v>0 / 68,195</v>
      </c>
      <c r="J68" s="28" t="str">
        <f>CONCATENATE(SUM($K$6:$K68)," / ",SUM($K$6:$K$370))</f>
        <v>112,7 / 180,895</v>
      </c>
      <c r="K68" s="245">
        <v>0</v>
      </c>
      <c r="L68" s="28"/>
      <c r="M68" s="28" t="str">
        <f>CONCATENATE(SUMIF($E$6:$E68,$E68,$P$6:$P$370)," / ",SUMIF($E$6:$E$370,$E68,$P$6:$P$370))</f>
        <v>0 / 0</v>
      </c>
      <c r="N68" s="28" t="str">
        <f ca="1">CONCATENATE(SUMIF($F$6:$F68,$F68,$P68)," / ",SUMIF($F$6:$F$370,$F68,$P$6:$P$370))</f>
        <v>0 / 0</v>
      </c>
      <c r="O68" s="28" t="str">
        <f t="shared" si="4"/>
        <v>0 / 30</v>
      </c>
      <c r="P68" s="245">
        <v>0</v>
      </c>
      <c r="Q68" s="28"/>
      <c r="R68" s="246">
        <v>0</v>
      </c>
      <c r="S68" s="28" t="str">
        <f>CONCATENATE(SUMIF($E$6:$E68,E68,$R$6:$R$370)," / ",SUMIF($E$6:$E$370,E68,$R$6:$R$370))</f>
        <v>0 / 0</v>
      </c>
      <c r="T68" s="28" t="str">
        <f>CONCATENATE(SUMIF($F$6:$F68,$F68,$R$6:$R$370)," / ",SUMIF($F$6:$F$370,$F68,$R$6:$R$370))</f>
        <v>0 / 0</v>
      </c>
      <c r="U68" s="28" t="str">
        <f>CONCATENATE(SUM($R$6:$R68)," / ",SUM($R$6:$R$370))</f>
        <v>0 / 0</v>
      </c>
    </row>
    <row r="69" spans="2:21" ht="13" thickBot="1">
      <c r="B69" s="28"/>
      <c r="C69" s="237">
        <f t="shared" si="5"/>
        <v>42433</v>
      </c>
      <c r="D69" s="35" t="str">
        <f t="shared" si="6"/>
        <v>Vendredi</v>
      </c>
      <c r="E69" s="124">
        <f t="shared" si="2"/>
        <v>10</v>
      </c>
      <c r="F69" s="124">
        <f t="shared" si="3"/>
        <v>3</v>
      </c>
      <c r="G69" s="27"/>
      <c r="H69" s="28" t="str">
        <f>CONCATENATE(SUMIF($E$6:$E69,$E69,$K$6:$K$370)," / ",SUMIF($E$6:$E$370,$E69,$K$6:$K433))</f>
        <v>0 / 0</v>
      </c>
      <c r="I69" s="28" t="str">
        <f>CONCATENATE(SUMIF($F$6:$F69,$F69,$K$6:$K433)," / ",SUMIF($F$6:$F$370,$F69,$K$6:$K433))</f>
        <v>0 / 68,195</v>
      </c>
      <c r="J69" s="28" t="str">
        <f>CONCATENATE(SUM($K$6:$K69)," / ",SUM($K$6:$K$370))</f>
        <v>112,7 / 180,895</v>
      </c>
      <c r="K69" s="245">
        <v>0</v>
      </c>
      <c r="L69" s="28"/>
      <c r="M69" s="28" t="str">
        <f>CONCATENATE(SUMIF($E$6:$E69,$E69,$P$6:$P$370)," / ",SUMIF($E$6:$E$370,$E69,$P$6:$P$370))</f>
        <v>0 / 0</v>
      </c>
      <c r="N69" s="28" t="str">
        <f ca="1">CONCATENATE(SUMIF($F$6:$F69,$F69,$P69)," / ",SUMIF($F$6:$F$370,$F69,$P$6:$P$370))</f>
        <v>0 / 0</v>
      </c>
      <c r="O69" s="28" t="str">
        <f t="shared" si="4"/>
        <v>0 / 30</v>
      </c>
      <c r="P69" s="245">
        <v>0</v>
      </c>
      <c r="Q69" s="28"/>
      <c r="R69" s="246">
        <v>0</v>
      </c>
      <c r="S69" s="28" t="str">
        <f>CONCATENATE(SUMIF($E$6:$E69,E69,$R$6:$R$370)," / ",SUMIF($E$6:$E$370,E69,$R$6:$R$370))</f>
        <v>0 / 0</v>
      </c>
      <c r="T69" s="28" t="str">
        <f>CONCATENATE(SUMIF($F$6:$F69,$F69,$R$6:$R$370)," / ",SUMIF($F$6:$F$370,$F69,$R$6:$R$370))</f>
        <v>0 / 0</v>
      </c>
      <c r="U69" s="28" t="str">
        <f>CONCATENATE(SUM($R$6:$R69)," / ",SUM($R$6:$R$370))</f>
        <v>0 / 0</v>
      </c>
    </row>
    <row r="70" spans="2:21" ht="13" thickBot="1">
      <c r="B70" s="28"/>
      <c r="C70" s="237">
        <f t="shared" si="5"/>
        <v>42434</v>
      </c>
      <c r="D70" s="35" t="str">
        <f t="shared" si="6"/>
        <v>samedi</v>
      </c>
      <c r="E70" s="124">
        <f t="shared" si="2"/>
        <v>10</v>
      </c>
      <c r="F70" s="124">
        <f t="shared" si="3"/>
        <v>3</v>
      </c>
      <c r="G70" s="27"/>
      <c r="H70" s="28" t="str">
        <f>CONCATENATE(SUMIF($E$6:$E70,$E70,$K$6:$K$370)," / ",SUMIF($E$6:$E$370,$E70,$K$6:$K434))</f>
        <v>0 / 0</v>
      </c>
      <c r="I70" s="28" t="str">
        <f>CONCATENATE(SUMIF($F$6:$F70,$F70,$K$6:$K434)," / ",SUMIF($F$6:$F$370,$F70,$K$6:$K434))</f>
        <v>0 / 68,195</v>
      </c>
      <c r="J70" s="28" t="str">
        <f>CONCATENATE(SUM($K$6:$K70)," / ",SUM($K$6:$K$370))</f>
        <v>112,7 / 180,895</v>
      </c>
      <c r="K70" s="245">
        <v>0</v>
      </c>
      <c r="L70" s="28"/>
      <c r="M70" s="28" t="str">
        <f>CONCATENATE(SUMIF($E$6:$E70,$E70,$P$6:$P$370)," / ",SUMIF($E$6:$E$370,$E70,$P$6:$P$370))</f>
        <v>0 / 0</v>
      </c>
      <c r="N70" s="28" t="str">
        <f ca="1">CONCATENATE(SUMIF($F$6:$F70,$F70,$P70)," / ",SUMIF($F$6:$F$370,$F70,$P$6:$P$370))</f>
        <v>0 / 0</v>
      </c>
      <c r="O70" s="28" t="str">
        <f t="shared" si="4"/>
        <v>0 / 30</v>
      </c>
      <c r="P70" s="245">
        <v>0</v>
      </c>
      <c r="Q70" s="28"/>
      <c r="R70" s="246">
        <v>0</v>
      </c>
      <c r="S70" s="28" t="str">
        <f>CONCATENATE(SUMIF($E$6:$E70,E70,$R$6:$R$370)," / ",SUMIF($E$6:$E$370,E70,$R$6:$R$370))</f>
        <v>0 / 0</v>
      </c>
      <c r="T70" s="28" t="str">
        <f>CONCATENATE(SUMIF($F$6:$F70,$F70,$R$6:$R$370)," / ",SUMIF($F$6:$F$370,$F70,$R$6:$R$370))</f>
        <v>0 / 0</v>
      </c>
      <c r="U70" s="28" t="str">
        <f>CONCATENATE(SUM($R$6:$R70)," / ",SUM($R$6:$R$370))</f>
        <v>0 / 0</v>
      </c>
    </row>
    <row r="71" spans="2:21" ht="16" thickBot="1">
      <c r="B71" s="28"/>
      <c r="C71" s="268">
        <f t="shared" si="5"/>
        <v>42435</v>
      </c>
      <c r="D71" s="35" t="str">
        <f t="shared" si="6"/>
        <v>Dimanche</v>
      </c>
      <c r="E71" s="193">
        <f t="shared" ref="E71:E134" si="9">WEEKNUM($C71)</f>
        <v>11</v>
      </c>
      <c r="F71" s="193">
        <f t="shared" ref="F71:F134" si="10">MONTH(C71)</f>
        <v>3</v>
      </c>
      <c r="G71" s="195" t="s">
        <v>677</v>
      </c>
      <c r="H71" s="28" t="str">
        <f>CONCATENATE(SUMIF($E$6:$E71,$E71,$K$6:$K$370)," / ",SUMIF($E$6:$E$370,$E71,$K$6:$K435))</f>
        <v>26 / 26</v>
      </c>
      <c r="I71" s="28" t="str">
        <f>CONCATENATE(SUMIF($F$6:$F71,$F71,$K$6:$K435)," / ",SUMIF($F$6:$F$370,$F71,$K$6:$K435))</f>
        <v>26 / 68,195</v>
      </c>
      <c r="J71" s="28" t="str">
        <f>CONCATENATE(SUM($K$6:$K71)," / ",SUM($K$6:$K$370))</f>
        <v>138,7 / 180,895</v>
      </c>
      <c r="K71" s="245">
        <v>26</v>
      </c>
      <c r="L71" s="28"/>
      <c r="M71" s="28" t="str">
        <f>CONCATENATE(SUMIF($E$6:$E71,$E71,$P$6:$P$370)," / ",SUMIF($E$6:$E$370,$E71,$P$6:$P$370))</f>
        <v>0 / 0</v>
      </c>
      <c r="N71" s="28" t="str">
        <f ca="1">CONCATENATE(SUMIF($F$6:$F71,$F71,$P71)," / ",SUMIF($F$6:$F$370,$F71,$P$6:$P$370))</f>
        <v>0 / 0</v>
      </c>
      <c r="O71" s="28" t="str">
        <f t="shared" ref="O71:O134" si="11">CONCATENATE(SUM($P71)," / ",SUM($P$6:$P$370))</f>
        <v>0 / 30</v>
      </c>
      <c r="P71" s="245">
        <v>0</v>
      </c>
      <c r="Q71" s="28"/>
      <c r="R71" s="246">
        <v>0</v>
      </c>
      <c r="S71" s="28" t="str">
        <f>CONCATENATE(SUMIF($E$6:$E71,E71,$R$6:$R$370)," / ",SUMIF($E$6:$E$370,E71,$R$6:$R$370))</f>
        <v>0 / 0</v>
      </c>
      <c r="T71" s="28" t="str">
        <f>CONCATENATE(SUMIF($F$6:$F71,$F71,$R$6:$R$370)," / ",SUMIF($F$6:$F$370,$F71,$R$6:$R$370))</f>
        <v>0 / 0</v>
      </c>
      <c r="U71" s="28" t="str">
        <f>CONCATENATE(SUM($R$6:$R71)," / ",SUM($R$6:$R$370))</f>
        <v>0 / 0</v>
      </c>
    </row>
    <row r="72" spans="2:21" ht="13" thickBot="1">
      <c r="B72" s="28"/>
      <c r="C72" s="237">
        <f t="shared" ref="C72:C135" si="12">C71+1</f>
        <v>42436</v>
      </c>
      <c r="D72" s="35" t="str">
        <f t="shared" si="6"/>
        <v>Lundi</v>
      </c>
      <c r="E72" s="124">
        <f t="shared" si="9"/>
        <v>11</v>
      </c>
      <c r="F72" s="124">
        <f t="shared" si="10"/>
        <v>3</v>
      </c>
      <c r="G72" s="27"/>
      <c r="H72" s="28" t="str">
        <f>CONCATENATE(SUMIF($E$6:$E72,$E72,$K$6:$K$370)," / ",SUMIF($E$6:$E$370,$E72,$K$6:$K436))</f>
        <v>26 / 26</v>
      </c>
      <c r="I72" s="28" t="str">
        <f>CONCATENATE(SUMIF($F$6:$F72,$F72,$K$6:$K436)," / ",SUMIF($F$6:$F$370,$F72,$K$6:$K436))</f>
        <v>26 / 68,195</v>
      </c>
      <c r="J72" s="28" t="str">
        <f>CONCATENATE(SUM($K$6:$K72)," / ",SUM($K$6:$K$370))</f>
        <v>138,7 / 180,895</v>
      </c>
      <c r="K72" s="245">
        <v>0</v>
      </c>
      <c r="L72" s="28"/>
      <c r="M72" s="28" t="str">
        <f>CONCATENATE(SUMIF($E$6:$E72,$E72,$P$6:$P$370)," / ",SUMIF($E$6:$E$370,$E72,$P$6:$P$370))</f>
        <v>0 / 0</v>
      </c>
      <c r="N72" s="28" t="str">
        <f ca="1">CONCATENATE(SUMIF($F$6:$F72,$F72,$P72)," / ",SUMIF($F$6:$F$370,$F72,$P$6:$P$370))</f>
        <v>0 / 0</v>
      </c>
      <c r="O72" s="28" t="str">
        <f t="shared" si="11"/>
        <v>0 / 30</v>
      </c>
      <c r="P72" s="245">
        <v>0</v>
      </c>
      <c r="Q72" s="28"/>
      <c r="R72" s="246">
        <v>0</v>
      </c>
      <c r="S72" s="28" t="str">
        <f>CONCATENATE(SUMIF($E$6:$E72,E72,$R$6:$R$370)," / ",SUMIF($E$6:$E$370,E72,$R$6:$R$370))</f>
        <v>0 / 0</v>
      </c>
      <c r="T72" s="28" t="str">
        <f>CONCATENATE(SUMIF($F$6:$F72,$F72,$R$6:$R$370)," / ",SUMIF($F$6:$F$370,$F72,$R$6:$R$370))</f>
        <v>0 / 0</v>
      </c>
      <c r="U72" s="28" t="str">
        <f>CONCATENATE(SUM($R$6:$R72)," / ",SUM($R$6:$R$370))</f>
        <v>0 / 0</v>
      </c>
    </row>
    <row r="73" spans="2:21" ht="13" thickBot="1">
      <c r="B73" s="28"/>
      <c r="C73" s="237">
        <f t="shared" si="12"/>
        <v>42437</v>
      </c>
      <c r="D73" s="35" t="str">
        <f t="shared" ref="D73:D94" si="13">IF(EXACT(WEEKDAY(C73),1),"Dimanche",IF(EXACT(WEEKDAY(C73),2),"Lundi",IF(EXACT(WEEKDAY(C73),3),"Mardi",IF(EXACT(WEEKDAY(C73),4),"Mercredi",IF(EXACT(WEEKDAY(C73),5),"Jeudi",IF(EXACT(WEEKDAY(C73),6),"Vendredi",IF(EXACT(WEEKDAY(C73),7),"samedi","Erreur de date")))))))</f>
        <v>Mardi</v>
      </c>
      <c r="E73" s="124">
        <f t="shared" si="9"/>
        <v>11</v>
      </c>
      <c r="F73" s="124">
        <f t="shared" si="10"/>
        <v>3</v>
      </c>
      <c r="G73" s="27"/>
      <c r="H73" s="28" t="str">
        <f>CONCATENATE(SUMIF($E$6:$E73,$E73,$K$6:$K$370)," / ",SUMIF($E$6:$E$370,$E73,$K$6:$K437))</f>
        <v>26 / 26</v>
      </c>
      <c r="I73" s="28" t="str">
        <f>CONCATENATE(SUMIF($F$6:$F73,$F73,$K$6:$K437)," / ",SUMIF($F$6:$F$370,$F73,$K$6:$K437))</f>
        <v>26 / 68,195</v>
      </c>
      <c r="J73" s="28" t="str">
        <f>CONCATENATE(SUM($K$6:$K73)," / ",SUM($K$6:$K$370))</f>
        <v>138,7 / 180,895</v>
      </c>
      <c r="K73" s="245">
        <v>0</v>
      </c>
      <c r="L73" s="28"/>
      <c r="M73" s="28" t="str">
        <f>CONCATENATE(SUMIF($E$6:$E73,$E73,$P$6:$P$370)," / ",SUMIF($E$6:$E$370,$E73,$P$6:$P$370))</f>
        <v>0 / 0</v>
      </c>
      <c r="N73" s="28" t="str">
        <f ca="1">CONCATENATE(SUMIF($F$6:$F73,$F73,$P73)," / ",SUMIF($F$6:$F$370,$F73,$P$6:$P$370))</f>
        <v>0 / 0</v>
      </c>
      <c r="O73" s="28" t="str">
        <f t="shared" si="11"/>
        <v>0 / 30</v>
      </c>
      <c r="P73" s="245">
        <v>0</v>
      </c>
      <c r="Q73" s="28"/>
      <c r="R73" s="246">
        <v>0</v>
      </c>
      <c r="S73" s="28" t="str">
        <f>CONCATENATE(SUMIF($E$6:$E73,E73,$R$6:$R$370)," / ",SUMIF($E$6:$E$370,E73,$R$6:$R$370))</f>
        <v>0 / 0</v>
      </c>
      <c r="T73" s="28" t="str">
        <f>CONCATENATE(SUMIF($F$6:$F73,$F73,$R$6:$R$370)," / ",SUMIF($F$6:$F$370,$F73,$R$6:$R$370))</f>
        <v>0 / 0</v>
      </c>
      <c r="U73" s="28" t="str">
        <f>CONCATENATE(SUM($R$6:$R73)," / ",SUM($R$6:$R$370))</f>
        <v>0 / 0</v>
      </c>
    </row>
    <row r="74" spans="2:21" ht="13" thickBot="1">
      <c r="B74" s="28"/>
      <c r="C74" s="237">
        <f t="shared" si="12"/>
        <v>42438</v>
      </c>
      <c r="D74" s="35" t="str">
        <f t="shared" si="13"/>
        <v>Mercredi</v>
      </c>
      <c r="E74" s="124">
        <f t="shared" si="9"/>
        <v>11</v>
      </c>
      <c r="F74" s="124">
        <f t="shared" si="10"/>
        <v>3</v>
      </c>
      <c r="G74" s="27"/>
      <c r="H74" s="28" t="str">
        <f>CONCATENATE(SUMIF($E$6:$E74,$E74,$K$6:$K$370)," / ",SUMIF($E$6:$E$370,$E74,$K$6:$K438))</f>
        <v>26 / 26</v>
      </c>
      <c r="I74" s="28" t="str">
        <f>CONCATENATE(SUMIF($F$6:$F74,$F74,$K$6:$K438)," / ",SUMIF($F$6:$F$370,$F74,$K$6:$K438))</f>
        <v>26 / 68,195</v>
      </c>
      <c r="J74" s="28" t="str">
        <f>CONCATENATE(SUM($K$6:$K74)," / ",SUM($K$6:$K$370))</f>
        <v>138,7 / 180,895</v>
      </c>
      <c r="K74" s="245">
        <v>0</v>
      </c>
      <c r="L74" s="28"/>
      <c r="M74" s="28" t="str">
        <f>CONCATENATE(SUMIF($E$6:$E74,$E74,$P$6:$P$370)," / ",SUMIF($E$6:$E$370,$E74,$P$6:$P$370))</f>
        <v>0 / 0</v>
      </c>
      <c r="N74" s="28" t="str">
        <f ca="1">CONCATENATE(SUMIF($F$6:$F74,$F74,$P74)," / ",SUMIF($F$6:$F$370,$F74,$P$6:$P$370))</f>
        <v>0 / 0</v>
      </c>
      <c r="O74" s="28" t="str">
        <f t="shared" si="11"/>
        <v>0 / 30</v>
      </c>
      <c r="P74" s="245">
        <v>0</v>
      </c>
      <c r="Q74" s="28"/>
      <c r="R74" s="246">
        <v>0</v>
      </c>
      <c r="S74" s="28" t="str">
        <f>CONCATENATE(SUMIF($E$6:$E74,E74,$R$6:$R$370)," / ",SUMIF($E$6:$E$370,E74,$R$6:$R$370))</f>
        <v>0 / 0</v>
      </c>
      <c r="T74" s="28" t="str">
        <f>CONCATENATE(SUMIF($F$6:$F74,$F74,$R$6:$R$370)," / ",SUMIF($F$6:$F$370,$F74,$R$6:$R$370))</f>
        <v>0 / 0</v>
      </c>
      <c r="U74" s="28" t="str">
        <f>CONCATENATE(SUM($R$6:$R74)," / ",SUM($R$6:$R$370))</f>
        <v>0 / 0</v>
      </c>
    </row>
    <row r="75" spans="2:21" ht="13" thickBot="1">
      <c r="B75" s="28"/>
      <c r="C75" s="237">
        <f t="shared" si="12"/>
        <v>42439</v>
      </c>
      <c r="D75" s="35" t="str">
        <f t="shared" si="13"/>
        <v>Jeudi</v>
      </c>
      <c r="E75" s="124">
        <f t="shared" si="9"/>
        <v>11</v>
      </c>
      <c r="F75" s="124">
        <f t="shared" si="10"/>
        <v>3</v>
      </c>
      <c r="G75" s="27"/>
      <c r="H75" s="28" t="str">
        <f>CONCATENATE(SUMIF($E$6:$E75,$E75,$K$6:$K$370)," / ",SUMIF($E$6:$E$370,$E75,$K$6:$K439))</f>
        <v>26 / 26</v>
      </c>
      <c r="I75" s="28" t="str">
        <f>CONCATENATE(SUMIF($F$6:$F75,$F75,$K$6:$K439)," / ",SUMIF($F$6:$F$370,$F75,$K$6:$K439))</f>
        <v>26 / 68,195</v>
      </c>
      <c r="J75" s="28" t="str">
        <f>CONCATENATE(SUM($K$6:$K75)," / ",SUM($K$6:$K$370))</f>
        <v>138,7 / 180,895</v>
      </c>
      <c r="K75" s="245">
        <v>0</v>
      </c>
      <c r="L75" s="28"/>
      <c r="M75" s="28" t="str">
        <f>CONCATENATE(SUMIF($E$6:$E75,$E75,$P$6:$P$370)," / ",SUMIF($E$6:$E$370,$E75,$P$6:$P$370))</f>
        <v>0 / 0</v>
      </c>
      <c r="N75" s="28" t="str">
        <f ca="1">CONCATENATE(SUMIF($F$6:$F75,$F75,$P75)," / ",SUMIF($F$6:$F$370,$F75,$P$6:$P$370))</f>
        <v>0 / 0</v>
      </c>
      <c r="O75" s="28" t="str">
        <f t="shared" si="11"/>
        <v>0 / 30</v>
      </c>
      <c r="P75" s="245">
        <v>0</v>
      </c>
      <c r="Q75" s="28"/>
      <c r="R75" s="246">
        <v>0</v>
      </c>
      <c r="S75" s="28" t="str">
        <f>CONCATENATE(SUMIF($E$6:$E75,E75,$R$6:$R$370)," / ",SUMIF($E$6:$E$370,E75,$R$6:$R$370))</f>
        <v>0 / 0</v>
      </c>
      <c r="T75" s="28" t="str">
        <f>CONCATENATE(SUMIF($F$6:$F75,$F75,$R$6:$R$370)," / ",SUMIF($F$6:$F$370,$F75,$R$6:$R$370))</f>
        <v>0 / 0</v>
      </c>
      <c r="U75" s="28" t="str">
        <f>CONCATENATE(SUM($R$6:$R75)," / ",SUM($R$6:$R$370))</f>
        <v>0 / 0</v>
      </c>
    </row>
    <row r="76" spans="2:21" ht="13" thickBot="1">
      <c r="B76" s="28"/>
      <c r="C76" s="237">
        <f t="shared" si="12"/>
        <v>42440</v>
      </c>
      <c r="D76" s="35" t="str">
        <f t="shared" si="13"/>
        <v>Vendredi</v>
      </c>
      <c r="E76" s="124">
        <f t="shared" si="9"/>
        <v>11</v>
      </c>
      <c r="F76" s="124">
        <f t="shared" si="10"/>
        <v>3</v>
      </c>
      <c r="G76" s="27"/>
      <c r="H76" s="28" t="str">
        <f>CONCATENATE(SUMIF($E$6:$E76,$E76,$K$6:$K$370)," / ",SUMIF($E$6:$E$370,$E76,$K$6:$K440))</f>
        <v>26 / 26</v>
      </c>
      <c r="I76" s="28" t="str">
        <f>CONCATENATE(SUMIF($F$6:$F76,$F76,$K$6:$K440)," / ",SUMIF($F$6:$F$370,$F76,$K$6:$K440))</f>
        <v>26 / 68,195</v>
      </c>
      <c r="J76" s="28" t="str">
        <f>CONCATENATE(SUM($K$6:$K76)," / ",SUM($K$6:$K$370))</f>
        <v>138,7 / 180,895</v>
      </c>
      <c r="K76" s="245">
        <v>0</v>
      </c>
      <c r="L76" s="28"/>
      <c r="M76" s="28" t="str">
        <f>CONCATENATE(SUMIF($E$6:$E76,$E76,$P$6:$P$370)," / ",SUMIF($E$6:$E$370,$E76,$P$6:$P$370))</f>
        <v>0 / 0</v>
      </c>
      <c r="N76" s="28" t="str">
        <f ca="1">CONCATENATE(SUMIF($F$6:$F76,$F76,$P76)," / ",SUMIF($F$6:$F$370,$F76,$P$6:$P$370))</f>
        <v>0 / 0</v>
      </c>
      <c r="O76" s="28" t="str">
        <f t="shared" si="11"/>
        <v>0 / 30</v>
      </c>
      <c r="P76" s="245">
        <v>0</v>
      </c>
      <c r="Q76" s="28"/>
      <c r="R76" s="246">
        <v>0</v>
      </c>
      <c r="S76" s="28" t="str">
        <f>CONCATENATE(SUMIF($E$6:$E76,E76,$R$6:$R$370)," / ",SUMIF($E$6:$E$370,E76,$R$6:$R$370))</f>
        <v>0 / 0</v>
      </c>
      <c r="T76" s="28" t="str">
        <f>CONCATENATE(SUMIF($F$6:$F76,$F76,$R$6:$R$370)," / ",SUMIF($F$6:$F$370,$F76,$R$6:$R$370))</f>
        <v>0 / 0</v>
      </c>
      <c r="U76" s="28" t="str">
        <f>CONCATENATE(SUM($R$6:$R76)," / ",SUM($R$6:$R$370))</f>
        <v>0 / 0</v>
      </c>
    </row>
    <row r="77" spans="2:21" ht="13" thickBot="1">
      <c r="B77" s="28"/>
      <c r="C77" s="237">
        <f t="shared" si="12"/>
        <v>42441</v>
      </c>
      <c r="D77" s="35" t="str">
        <f t="shared" si="13"/>
        <v>samedi</v>
      </c>
      <c r="E77" s="124">
        <f t="shared" si="9"/>
        <v>11</v>
      </c>
      <c r="F77" s="124">
        <f t="shared" si="10"/>
        <v>3</v>
      </c>
      <c r="G77" s="27"/>
      <c r="H77" s="28" t="str">
        <f>CONCATENATE(SUMIF($E$6:$E77,$E77,$K$6:$K$370)," / ",SUMIF($E$6:$E$370,$E77,$K$6:$K441))</f>
        <v>26 / 26</v>
      </c>
      <c r="I77" s="28" t="str">
        <f>CONCATENATE(SUMIF($F$6:$F77,$F77,$K$6:$K441)," / ",SUMIF($F$6:$F$370,$F77,$K$6:$K441))</f>
        <v>26 / 68,195</v>
      </c>
      <c r="J77" s="28" t="str">
        <f>CONCATENATE(SUM($K$6:$K77)," / ",SUM($K$6:$K$370))</f>
        <v>138,7 / 180,895</v>
      </c>
      <c r="K77" s="245">
        <v>0</v>
      </c>
      <c r="L77" s="28"/>
      <c r="M77" s="28" t="str">
        <f>CONCATENATE(SUMIF($E$6:$E77,$E77,$P$6:$P$370)," / ",SUMIF($E$6:$E$370,$E77,$P$6:$P$370))</f>
        <v>0 / 0</v>
      </c>
      <c r="N77" s="28" t="str">
        <f ca="1">CONCATENATE(SUMIF($F$6:$F77,$F77,$P77)," / ",SUMIF($F$6:$F$370,$F77,$P$6:$P$370))</f>
        <v>0 / 0</v>
      </c>
      <c r="O77" s="28" t="str">
        <f t="shared" si="11"/>
        <v>0 / 30</v>
      </c>
      <c r="P77" s="245">
        <v>0</v>
      </c>
      <c r="Q77" s="28"/>
      <c r="R77" s="246">
        <v>0</v>
      </c>
      <c r="S77" s="28" t="str">
        <f>CONCATENATE(SUMIF($E$6:$E77,E77,$R$6:$R$370)," / ",SUMIF($E$6:$E$370,E77,$R$6:$R$370))</f>
        <v>0 / 0</v>
      </c>
      <c r="T77" s="28" t="str">
        <f>CONCATENATE(SUMIF($F$6:$F77,$F77,$R$6:$R$370)," / ",SUMIF($F$6:$F$370,$F77,$R$6:$R$370))</f>
        <v>0 / 0</v>
      </c>
      <c r="U77" s="28" t="str">
        <f>CONCATENATE(SUM($R$6:$R77)," / ",SUM($R$6:$R$370))</f>
        <v>0 / 0</v>
      </c>
    </row>
    <row r="78" spans="2:21" ht="16" thickBot="1">
      <c r="B78" s="28"/>
      <c r="C78" s="268">
        <f t="shared" si="12"/>
        <v>42442</v>
      </c>
      <c r="D78" s="35" t="str">
        <f t="shared" si="13"/>
        <v>Dimanche</v>
      </c>
      <c r="E78" s="193">
        <f t="shared" si="9"/>
        <v>12</v>
      </c>
      <c r="F78" s="193">
        <f t="shared" ref="F78" si="14">MONTH(C78)</f>
        <v>3</v>
      </c>
      <c r="G78" s="195" t="s">
        <v>597</v>
      </c>
      <c r="H78" s="28" t="str">
        <f>CONCATENATE(SUMIF($E$6:$E78,$E78,$K$6:$K$370)," / ",SUMIF($E$6:$E$370,$E78,$K$6:$K442))</f>
        <v>42,195 / 42,195</v>
      </c>
      <c r="I78" s="28" t="str">
        <f>CONCATENATE(SUMIF($F$6:$F78,$F78,$K$6:$K442)," / ",SUMIF($F$6:$F$370,$F78,$K$6:$K442))</f>
        <v>68,195 / 68,195</v>
      </c>
      <c r="J78" s="28" t="str">
        <f>CONCATENATE(SUM($K$6:$K78)," / ",SUM($K$6:$K$370))</f>
        <v>180,895 / 180,895</v>
      </c>
      <c r="K78" s="245">
        <v>42.195</v>
      </c>
      <c r="L78" s="28"/>
      <c r="M78" s="28" t="str">
        <f>CONCATENATE(SUMIF($E$6:$E78,$E78,$P$6:$P$370)," / ",SUMIF($E$6:$E$370,$E78,$P$6:$P$370))</f>
        <v>0 / 0</v>
      </c>
      <c r="N78" s="28" t="str">
        <f ca="1">CONCATENATE(SUMIF($F$6:$F78,$F78,$P78)," / ",SUMIF($F$6:$F$370,$F78,$P$6:$P$370))</f>
        <v>0 / 0</v>
      </c>
      <c r="O78" s="28" t="str">
        <f t="shared" si="11"/>
        <v>0 / 30</v>
      </c>
      <c r="P78" s="245">
        <v>0</v>
      </c>
      <c r="Q78" s="28"/>
      <c r="R78" s="246">
        <v>0</v>
      </c>
      <c r="S78" s="28" t="str">
        <f>CONCATENATE(SUMIF($E$6:$E78,E78,$R$6:$R$370)," / ",SUMIF($E$6:$E$370,E78,$R$6:$R$370))</f>
        <v>0 / 0</v>
      </c>
      <c r="T78" s="28" t="str">
        <f>CONCATENATE(SUMIF($F$6:$F78,$F78,$R$6:$R$370)," / ",SUMIF($F$6:$F$370,$F78,$R$6:$R$370))</f>
        <v>0 / 0</v>
      </c>
      <c r="U78" s="28" t="str">
        <f>CONCATENATE(SUM($R$6:$R78)," / ",SUM($R$6:$R$370))</f>
        <v>0 / 0</v>
      </c>
    </row>
    <row r="79" spans="2:21" ht="13" thickBot="1">
      <c r="B79" s="28"/>
      <c r="C79" s="237">
        <f t="shared" si="12"/>
        <v>42443</v>
      </c>
      <c r="D79" s="35" t="str">
        <f t="shared" si="13"/>
        <v>Lundi</v>
      </c>
      <c r="E79" s="124">
        <f t="shared" si="9"/>
        <v>12</v>
      </c>
      <c r="F79" s="124">
        <f t="shared" si="10"/>
        <v>3</v>
      </c>
      <c r="G79" s="27"/>
      <c r="H79" s="28" t="str">
        <f>CONCATENATE(SUMIF($E$6:$E79,$E79,$K$6:$K$370)," / ",SUMIF($E$6:$E$370,$E79,$K$6:$K443))</f>
        <v>42,195 / 42,195</v>
      </c>
      <c r="I79" s="28" t="str">
        <f>CONCATENATE(SUMIF($F$6:$F79,$F79,$K$6:$K443)," / ",SUMIF($F$6:$F$370,$F79,$K$6:$K443))</f>
        <v>68,195 / 68,195</v>
      </c>
      <c r="J79" s="28" t="str">
        <f>CONCATENATE(SUM($K$6:$K79)," / ",SUM($K$6:$K$370))</f>
        <v>180,895 / 180,895</v>
      </c>
      <c r="K79" s="245">
        <v>0</v>
      </c>
      <c r="L79" s="28"/>
      <c r="M79" s="28" t="str">
        <f>CONCATENATE(SUMIF($E$6:$E79,$E79,$P$6:$P$370)," / ",SUMIF($E$6:$E$370,$E79,$P$6:$P$370))</f>
        <v>0 / 0</v>
      </c>
      <c r="N79" s="28" t="str">
        <f ca="1">CONCATENATE(SUMIF($F$6:$F79,$F79,$P79)," / ",SUMIF($F$6:$F$370,$F79,$P$6:$P$370))</f>
        <v>0 / 0</v>
      </c>
      <c r="O79" s="28" t="str">
        <f t="shared" si="11"/>
        <v>0 / 30</v>
      </c>
      <c r="P79" s="245">
        <v>0</v>
      </c>
      <c r="Q79" s="28"/>
      <c r="R79" s="246">
        <v>0</v>
      </c>
      <c r="S79" s="28" t="str">
        <f>CONCATENATE(SUMIF($E$6:$E79,E79,$R$6:$R$370)," / ",SUMIF($E$6:$E$370,E79,$R$6:$R$370))</f>
        <v>0 / 0</v>
      </c>
      <c r="T79" s="28" t="str">
        <f>CONCATENATE(SUMIF($F$6:$F79,$F79,$R$6:$R$370)," / ",SUMIF($F$6:$F$370,$F79,$R$6:$R$370))</f>
        <v>0 / 0</v>
      </c>
      <c r="U79" s="28" t="str">
        <f>CONCATENATE(SUM($R$6:$R79)," / ",SUM($R$6:$R$370))</f>
        <v>0 / 0</v>
      </c>
    </row>
    <row r="80" spans="2:21" ht="13" thickBot="1">
      <c r="B80" s="28"/>
      <c r="C80" s="237">
        <f t="shared" si="12"/>
        <v>42444</v>
      </c>
      <c r="D80" s="35" t="str">
        <f t="shared" si="13"/>
        <v>Mardi</v>
      </c>
      <c r="E80" s="124">
        <f t="shared" si="9"/>
        <v>12</v>
      </c>
      <c r="F80" s="124">
        <f t="shared" si="10"/>
        <v>3</v>
      </c>
      <c r="G80" s="27"/>
      <c r="H80" s="28" t="str">
        <f>CONCATENATE(SUMIF($E$6:$E80,$E80,$K$6:$K$370)," / ",SUMIF($E$6:$E$370,$E80,$K$6:$K444))</f>
        <v>42,195 / 42,195</v>
      </c>
      <c r="I80" s="28" t="str">
        <f>CONCATENATE(SUMIF($F$6:$F80,$F80,$K$6:$K444)," / ",SUMIF($F$6:$F$370,$F80,$K$6:$K444))</f>
        <v>68,195 / 68,195</v>
      </c>
      <c r="J80" s="28" t="str">
        <f>CONCATENATE(SUM($K$6:$K80)," / ",SUM($K$6:$K$370))</f>
        <v>180,895 / 180,895</v>
      </c>
      <c r="K80" s="245">
        <v>0</v>
      </c>
      <c r="L80" s="28"/>
      <c r="M80" s="28" t="str">
        <f>CONCATENATE(SUMIF($E$6:$E80,$E80,$P$6:$P$370)," / ",SUMIF($E$6:$E$370,$E80,$P$6:$P$370))</f>
        <v>0 / 0</v>
      </c>
      <c r="N80" s="28" t="str">
        <f ca="1">CONCATENATE(SUMIF($F$6:$F80,$F80,$P80)," / ",SUMIF($F$6:$F$370,$F80,$P$6:$P$370))</f>
        <v>0 / 0</v>
      </c>
      <c r="O80" s="28" t="str">
        <f t="shared" si="11"/>
        <v>0 / 30</v>
      </c>
      <c r="P80" s="245">
        <v>0</v>
      </c>
      <c r="Q80" s="28"/>
      <c r="R80" s="246">
        <v>0</v>
      </c>
      <c r="S80" s="28" t="str">
        <f>CONCATENATE(SUMIF($E$6:$E80,E80,$R$6:$R$370)," / ",SUMIF($E$6:$E$370,E80,$R$6:$R$370))</f>
        <v>0 / 0</v>
      </c>
      <c r="T80" s="28" t="str">
        <f>CONCATENATE(SUMIF($F$6:$F80,$F80,$R$6:$R$370)," / ",SUMIF($F$6:$F$370,$F80,$R$6:$R$370))</f>
        <v>0 / 0</v>
      </c>
      <c r="U80" s="28" t="str">
        <f>CONCATENATE(SUM($R$6:$R80)," / ",SUM($R$6:$R$370))</f>
        <v>0 / 0</v>
      </c>
    </row>
    <row r="81" spans="2:21" ht="13" thickBot="1">
      <c r="B81" s="28"/>
      <c r="C81" s="237">
        <f t="shared" si="12"/>
        <v>42445</v>
      </c>
      <c r="D81" s="35" t="str">
        <f t="shared" si="13"/>
        <v>Mercredi</v>
      </c>
      <c r="E81" s="124">
        <f t="shared" si="9"/>
        <v>12</v>
      </c>
      <c r="F81" s="124">
        <f t="shared" si="10"/>
        <v>3</v>
      </c>
      <c r="G81" s="27"/>
      <c r="H81" s="28" t="str">
        <f>CONCATENATE(SUMIF($E$6:$E81,$E81,$K$6:$K$370)," / ",SUMIF($E$6:$E$370,$E81,$K$6:$K445))</f>
        <v>42,195 / 42,195</v>
      </c>
      <c r="I81" s="28" t="str">
        <f>CONCATENATE(SUMIF($F$6:$F81,$F81,$K$6:$K445)," / ",SUMIF($F$6:$F$370,$F81,$K$6:$K445))</f>
        <v>68,195 / 68,195</v>
      </c>
      <c r="J81" s="28" t="str">
        <f>CONCATENATE(SUM($K$6:$K81)," / ",SUM($K$6:$K$370))</f>
        <v>180,895 / 180,895</v>
      </c>
      <c r="K81" s="245">
        <v>0</v>
      </c>
      <c r="L81" s="28"/>
      <c r="M81" s="28" t="str">
        <f>CONCATENATE(SUMIF($E$6:$E81,$E81,$P$6:$P$370)," / ",SUMIF($E$6:$E$370,$E81,$P$6:$P$370))</f>
        <v>0 / 0</v>
      </c>
      <c r="N81" s="28" t="str">
        <f ca="1">CONCATENATE(SUMIF($F$6:$F81,$F81,$P81)," / ",SUMIF($F$6:$F$370,$F81,$P$6:$P$370))</f>
        <v>0 / 0</v>
      </c>
      <c r="O81" s="28" t="str">
        <f t="shared" si="11"/>
        <v>0 / 30</v>
      </c>
      <c r="P81" s="245">
        <v>0</v>
      </c>
      <c r="Q81" s="28"/>
      <c r="R81" s="246">
        <v>0</v>
      </c>
      <c r="S81" s="28" t="str">
        <f>CONCATENATE(SUMIF($E$6:$E81,E81,$R$6:$R$370)," / ",SUMIF($E$6:$E$370,E81,$R$6:$R$370))</f>
        <v>0 / 0</v>
      </c>
      <c r="T81" s="28" t="str">
        <f>CONCATENATE(SUMIF($F$6:$F81,$F81,$R$6:$R$370)," / ",SUMIF($F$6:$F$370,$F81,$R$6:$R$370))</f>
        <v>0 / 0</v>
      </c>
      <c r="U81" s="28" t="str">
        <f>CONCATENATE(SUM($R$6:$R81)," / ",SUM($R$6:$R$370))</f>
        <v>0 / 0</v>
      </c>
    </row>
    <row r="82" spans="2:21" ht="13" thickBot="1">
      <c r="B82" s="28"/>
      <c r="C82" s="237">
        <f t="shared" si="12"/>
        <v>42446</v>
      </c>
      <c r="D82" s="35" t="str">
        <f t="shared" si="13"/>
        <v>Jeudi</v>
      </c>
      <c r="E82" s="124">
        <f t="shared" si="9"/>
        <v>12</v>
      </c>
      <c r="F82" s="124">
        <f t="shared" ref="F82:F83" si="15">MONTH(C82)</f>
        <v>3</v>
      </c>
      <c r="G82" s="27"/>
      <c r="H82" s="28" t="str">
        <f>CONCATENATE(SUMIF($E$6:$E82,$E82,$K$6:$K$370)," / ",SUMIF($E$6:$E$370,$E82,$K$6:$K446))</f>
        <v>42,195 / 42,195</v>
      </c>
      <c r="I82" s="28" t="str">
        <f>CONCATENATE(SUMIF($F$6:$F82,$F82,$K$6:$K446)," / ",SUMIF($F$6:$F$370,$F82,$K$6:$K446))</f>
        <v>68,195 / 68,195</v>
      </c>
      <c r="J82" s="28" t="str">
        <f>CONCATENATE(SUM($K$6:$K82)," / ",SUM($K$6:$K$370))</f>
        <v>180,895 / 180,895</v>
      </c>
      <c r="K82" s="245">
        <v>0</v>
      </c>
      <c r="L82" s="28"/>
      <c r="M82" s="28" t="str">
        <f>CONCATENATE(SUMIF($E$6:$E82,$E82,$P$6:$P$370)," / ",SUMIF($E$6:$E$370,$E82,$P$6:$P$370))</f>
        <v>0 / 0</v>
      </c>
      <c r="N82" s="28" t="str">
        <f ca="1">CONCATENATE(SUMIF($F$6:$F82,$F82,$P82)," / ",SUMIF($F$6:$F$370,$F82,$P$6:$P$370))</f>
        <v>0 / 0</v>
      </c>
      <c r="O82" s="28" t="str">
        <f t="shared" si="11"/>
        <v>0 / 30</v>
      </c>
      <c r="P82" s="245">
        <v>0</v>
      </c>
      <c r="Q82" s="28"/>
      <c r="R82" s="246">
        <v>0</v>
      </c>
      <c r="S82" s="28" t="str">
        <f>CONCATENATE(SUMIF($E$6:$E82,E82,$R$6:$R$370)," / ",SUMIF($E$6:$E$370,E82,$R$6:$R$370))</f>
        <v>0 / 0</v>
      </c>
      <c r="T82" s="28" t="str">
        <f>CONCATENATE(SUMIF($F$6:$F82,$F82,$R$6:$R$370)," / ",SUMIF($F$6:$F$370,$F82,$R$6:$R$370))</f>
        <v>0 / 0</v>
      </c>
      <c r="U82" s="28" t="str">
        <f>CONCATENATE(SUM($R$6:$R82)," / ",SUM($R$6:$R$370))</f>
        <v>0 / 0</v>
      </c>
    </row>
    <row r="83" spans="2:21" ht="13" thickBot="1">
      <c r="B83" s="28"/>
      <c r="C83" s="237">
        <f t="shared" si="12"/>
        <v>42447</v>
      </c>
      <c r="D83" s="35" t="str">
        <f t="shared" si="13"/>
        <v>Vendredi</v>
      </c>
      <c r="E83" s="124">
        <f t="shared" si="9"/>
        <v>12</v>
      </c>
      <c r="F83" s="124">
        <f t="shared" si="15"/>
        <v>3</v>
      </c>
      <c r="G83" s="27"/>
      <c r="H83" s="28" t="str">
        <f>CONCATENATE(SUMIF($E$6:$E83,$E83,$K$6:$K$370)," / ",SUMIF($E$6:$E$370,$E83,$K$6:$K447))</f>
        <v>42,195 / 42,195</v>
      </c>
      <c r="I83" s="28" t="str">
        <f>CONCATENATE(SUMIF($F$6:$F83,$F83,$K$6:$K447)," / ",SUMIF($F$6:$F$370,$F83,$K$6:$K447))</f>
        <v>68,195 / 68,195</v>
      </c>
      <c r="J83" s="28" t="str">
        <f>CONCATENATE(SUM($K$6:$K83)," / ",SUM($K$6:$K$370))</f>
        <v>180,895 / 180,895</v>
      </c>
      <c r="K83" s="245">
        <v>0</v>
      </c>
      <c r="L83" s="28"/>
      <c r="M83" s="28" t="str">
        <f>CONCATENATE(SUMIF($E$6:$E83,$E83,$P$6:$P$370)," / ",SUMIF($E$6:$E$370,$E83,$P$6:$P$370))</f>
        <v>0 / 0</v>
      </c>
      <c r="N83" s="28" t="str">
        <f ca="1">CONCATENATE(SUMIF($F$6:$F83,$F83,$P83)," / ",SUMIF($F$6:$F$370,$F83,$P$6:$P$370))</f>
        <v>0 / 0</v>
      </c>
      <c r="O83" s="28" t="str">
        <f t="shared" si="11"/>
        <v>0 / 30</v>
      </c>
      <c r="P83" s="245">
        <v>0</v>
      </c>
      <c r="Q83" s="28"/>
      <c r="R83" s="246">
        <v>0</v>
      </c>
      <c r="S83" s="28" t="str">
        <f>CONCATENATE(SUMIF($E$6:$E83,E83,$R$6:$R$370)," / ",SUMIF($E$6:$E$370,E83,$R$6:$R$370))</f>
        <v>0 / 0</v>
      </c>
      <c r="T83" s="28" t="str">
        <f>CONCATENATE(SUMIF($F$6:$F83,$F83,$R$6:$R$370)," / ",SUMIF($F$6:$F$370,$F83,$R$6:$R$370))</f>
        <v>0 / 0</v>
      </c>
      <c r="U83" s="28" t="str">
        <f>CONCATENATE(SUM($R$6:$R83)," / ",SUM($R$6:$R$370))</f>
        <v>0 / 0</v>
      </c>
    </row>
    <row r="84" spans="2:21" ht="13" thickBot="1">
      <c r="B84" s="28"/>
      <c r="C84" s="237">
        <f t="shared" si="12"/>
        <v>42448</v>
      </c>
      <c r="D84" s="35" t="str">
        <f t="shared" si="13"/>
        <v>samedi</v>
      </c>
      <c r="E84" s="124">
        <f t="shared" si="9"/>
        <v>12</v>
      </c>
      <c r="F84" s="124">
        <f t="shared" si="10"/>
        <v>3</v>
      </c>
      <c r="G84" s="27"/>
      <c r="H84" s="28" t="str">
        <f>CONCATENATE(SUMIF($E$6:$E84,$E84,$K$6:$K$370)," / ",SUMIF($E$6:$E$370,$E84,$K$6:$K448))</f>
        <v>42,195 / 42,195</v>
      </c>
      <c r="I84" s="28" t="str">
        <f>CONCATENATE(SUMIF($F$6:$F84,$F84,$K$6:$K448)," / ",SUMIF($F$6:$F$370,$F84,$K$6:$K448))</f>
        <v>68,195 / 68,195</v>
      </c>
      <c r="J84" s="28" t="str">
        <f>CONCATENATE(SUM($K$6:$K84)," / ",SUM($K$6:$K$370))</f>
        <v>180,895 / 180,895</v>
      </c>
      <c r="K84" s="245">
        <v>0</v>
      </c>
      <c r="L84" s="28"/>
      <c r="M84" s="28" t="str">
        <f>CONCATENATE(SUMIF($E$6:$E84,$E84,$P$6:$P$370)," / ",SUMIF($E$6:$E$370,$E84,$P$6:$P$370))</f>
        <v>0 / 0</v>
      </c>
      <c r="N84" s="28" t="str">
        <f ca="1">CONCATENATE(SUMIF($F$6:$F84,$F84,$P84)," / ",SUMIF($F$6:$F$370,$F84,$P$6:$P$370))</f>
        <v>0 / 0</v>
      </c>
      <c r="O84" s="28" t="str">
        <f t="shared" si="11"/>
        <v>0 / 30</v>
      </c>
      <c r="P84" s="245">
        <v>0</v>
      </c>
      <c r="Q84" s="28"/>
      <c r="R84" s="246">
        <v>0</v>
      </c>
      <c r="S84" s="28" t="str">
        <f>CONCATENATE(SUMIF($E$6:$E84,E84,$R$6:$R$370)," / ",SUMIF($E$6:$E$370,E84,$R$6:$R$370))</f>
        <v>0 / 0</v>
      </c>
      <c r="T84" s="28" t="str">
        <f>CONCATENATE(SUMIF($F$6:$F84,$F84,$R$6:$R$370)," / ",SUMIF($F$6:$F$370,$F84,$R$6:$R$370))</f>
        <v>0 / 0</v>
      </c>
      <c r="U84" s="28" t="str">
        <f>CONCATENATE(SUM($R$6:$R84)," / ",SUM($R$6:$R$370))</f>
        <v>0 / 0</v>
      </c>
    </row>
    <row r="85" spans="2:21" ht="13" thickBot="1">
      <c r="B85" s="28"/>
      <c r="C85" s="237">
        <f t="shared" si="12"/>
        <v>42449</v>
      </c>
      <c r="D85" s="35" t="str">
        <f t="shared" si="13"/>
        <v>Dimanche</v>
      </c>
      <c r="E85" s="124">
        <f t="shared" si="9"/>
        <v>13</v>
      </c>
      <c r="F85" s="124">
        <f t="shared" si="10"/>
        <v>3</v>
      </c>
      <c r="G85" s="27"/>
      <c r="H85" s="28" t="str">
        <f>CONCATENATE(SUMIF($E$6:$E85,$E85,$K$6:$K$370)," / ",SUMIF($E$6:$E$370,$E85,$K$6:$K449))</f>
        <v>0 / 0</v>
      </c>
      <c r="I85" s="28" t="str">
        <f>CONCATENATE(SUMIF($F$6:$F85,$F85,$K$6:$K449)," / ",SUMIF($F$6:$F$370,$F85,$K$6:$K449))</f>
        <v>68,195 / 68,195</v>
      </c>
      <c r="J85" s="28" t="str">
        <f>CONCATENATE(SUM($K$6:$K85)," / ",SUM($K$6:$K$370))</f>
        <v>180,895 / 180,895</v>
      </c>
      <c r="K85" s="245">
        <v>0</v>
      </c>
      <c r="L85" s="28"/>
      <c r="M85" s="28" t="str">
        <f>CONCATENATE(SUMIF($E$6:$E85,$E85,$P$6:$P$370)," / ",SUMIF($E$6:$E$370,$E85,$P$6:$P$370))</f>
        <v>0 / 0</v>
      </c>
      <c r="N85" s="28" t="str">
        <f ca="1">CONCATENATE(SUMIF($F$6:$F85,$F85,$P85)," / ",SUMIF($F$6:$F$370,$F85,$P$6:$P$370))</f>
        <v>0 / 0</v>
      </c>
      <c r="O85" s="28" t="str">
        <f t="shared" si="11"/>
        <v>0 / 30</v>
      </c>
      <c r="P85" s="245">
        <v>0</v>
      </c>
      <c r="Q85" s="28"/>
      <c r="R85" s="246">
        <v>0</v>
      </c>
      <c r="S85" s="28" t="str">
        <f>CONCATENATE(SUMIF($E$6:$E85,E85,$R$6:$R$370)," / ",SUMIF($E$6:$E$370,E85,$R$6:$R$370))</f>
        <v>0 / 0</v>
      </c>
      <c r="T85" s="28" t="str">
        <f>CONCATENATE(SUMIF($F$6:$F85,$F85,$R$6:$R$370)," / ",SUMIF($F$6:$F$370,$F85,$R$6:$R$370))</f>
        <v>0 / 0</v>
      </c>
      <c r="U85" s="28" t="str">
        <f>CONCATENATE(SUM($R$6:$R85)," / ",SUM($R$6:$R$370))</f>
        <v>0 / 0</v>
      </c>
    </row>
    <row r="86" spans="2:21" ht="13" thickBot="1">
      <c r="B86" s="28"/>
      <c r="C86" s="237">
        <f t="shared" si="12"/>
        <v>42450</v>
      </c>
      <c r="D86" s="35" t="str">
        <f t="shared" si="13"/>
        <v>Lundi</v>
      </c>
      <c r="E86" s="124">
        <f t="shared" si="9"/>
        <v>13</v>
      </c>
      <c r="F86" s="124">
        <f t="shared" si="10"/>
        <v>3</v>
      </c>
      <c r="G86" s="27"/>
      <c r="H86" s="28" t="str">
        <f>CONCATENATE(SUMIF($E$6:$E86,$E86,$K$6:$K$370)," / ",SUMIF($E$6:$E$370,$E86,$K$6:$K450))</f>
        <v>0 / 0</v>
      </c>
      <c r="I86" s="28" t="str">
        <f>CONCATENATE(SUMIF($F$6:$F86,$F86,$K$6:$K450)," / ",SUMIF($F$6:$F$370,$F86,$K$6:$K450))</f>
        <v>68,195 / 68,195</v>
      </c>
      <c r="J86" s="28" t="str">
        <f>CONCATENATE(SUM($K$6:$K86)," / ",SUM($K$6:$K$370))</f>
        <v>180,895 / 180,895</v>
      </c>
      <c r="K86" s="245">
        <v>0</v>
      </c>
      <c r="L86" s="28"/>
      <c r="M86" s="28" t="str">
        <f>CONCATENATE(SUMIF($E$6:$E86,$E86,$P$6:$P$370)," / ",SUMIF($E$6:$E$370,$E86,$P$6:$P$370))</f>
        <v>0 / 0</v>
      </c>
      <c r="N86" s="28" t="str">
        <f ca="1">CONCATENATE(SUMIF($F$6:$F86,$F86,$P86)," / ",SUMIF($F$6:$F$370,$F86,$P$6:$P$370))</f>
        <v>0 / 0</v>
      </c>
      <c r="O86" s="28" t="str">
        <f t="shared" si="11"/>
        <v>0 / 30</v>
      </c>
      <c r="P86" s="245">
        <v>0</v>
      </c>
      <c r="Q86" s="28"/>
      <c r="R86" s="246">
        <v>0</v>
      </c>
      <c r="S86" s="28" t="str">
        <f>CONCATENATE(SUMIF($E$6:$E86,E86,$R$6:$R$370)," / ",SUMIF($E$6:$E$370,E86,$R$6:$R$370))</f>
        <v>0 / 0</v>
      </c>
      <c r="T86" s="28" t="str">
        <f>CONCATENATE(SUMIF($F$6:$F86,$F86,$R$6:$R$370)," / ",SUMIF($F$6:$F$370,$F86,$R$6:$R$370))</f>
        <v>0 / 0</v>
      </c>
      <c r="U86" s="28" t="str">
        <f>CONCATENATE(SUM($R$6:$R86)," / ",SUM($R$6:$R$370))</f>
        <v>0 / 0</v>
      </c>
    </row>
    <row r="87" spans="2:21" ht="13" thickBot="1">
      <c r="B87" s="28"/>
      <c r="C87" s="237">
        <f t="shared" si="12"/>
        <v>42451</v>
      </c>
      <c r="D87" s="35" t="str">
        <f t="shared" si="13"/>
        <v>Mardi</v>
      </c>
      <c r="E87" s="124">
        <f t="shared" si="9"/>
        <v>13</v>
      </c>
      <c r="F87" s="124">
        <f t="shared" si="10"/>
        <v>3</v>
      </c>
      <c r="G87" s="27"/>
      <c r="H87" s="28" t="str">
        <f>CONCATENATE(SUMIF($E$6:$E87,$E87,$K$6:$K$370)," / ",SUMIF($E$6:$E$370,$E87,$K$6:$K451))</f>
        <v>0 / 0</v>
      </c>
      <c r="I87" s="28" t="str">
        <f>CONCATENATE(SUMIF($F$6:$F87,$F87,$K$6:$K451)," / ",SUMIF($F$6:$F$370,$F87,$K$6:$K451))</f>
        <v>68,195 / 68,195</v>
      </c>
      <c r="J87" s="28" t="str">
        <f>CONCATENATE(SUM($K$6:$K87)," / ",SUM($K$6:$K$370))</f>
        <v>180,895 / 180,895</v>
      </c>
      <c r="K87" s="245">
        <v>0</v>
      </c>
      <c r="L87" s="28"/>
      <c r="M87" s="28" t="str">
        <f>CONCATENATE(SUMIF($E$6:$E87,$E87,$P$6:$P$370)," / ",SUMIF($E$6:$E$370,$E87,$P$6:$P$370))</f>
        <v>0 / 0</v>
      </c>
      <c r="N87" s="28" t="str">
        <f ca="1">CONCATENATE(SUMIF($F$6:$F87,$F87,$P87)," / ",SUMIF($F$6:$F$370,$F87,$P$6:$P$370))</f>
        <v>0 / 0</v>
      </c>
      <c r="O87" s="28" t="str">
        <f t="shared" si="11"/>
        <v>0 / 30</v>
      </c>
      <c r="P87" s="245">
        <v>0</v>
      </c>
      <c r="Q87" s="28"/>
      <c r="R87" s="246">
        <v>0</v>
      </c>
      <c r="S87" s="28" t="str">
        <f>CONCATENATE(SUMIF($E$6:$E87,E87,$R$6:$R$370)," / ",SUMIF($E$6:$E$370,E87,$R$6:$R$370))</f>
        <v>0 / 0</v>
      </c>
      <c r="T87" s="28" t="str">
        <f>CONCATENATE(SUMIF($F$6:$F87,$F87,$R$6:$R$370)," / ",SUMIF($F$6:$F$370,$F87,$R$6:$R$370))</f>
        <v>0 / 0</v>
      </c>
      <c r="U87" s="28" t="str">
        <f>CONCATENATE(SUM($R$6:$R87)," / ",SUM($R$6:$R$370))</f>
        <v>0 / 0</v>
      </c>
    </row>
    <row r="88" spans="2:21" ht="13" thickBot="1">
      <c r="B88" s="28"/>
      <c r="C88" s="237">
        <f t="shared" si="12"/>
        <v>42452</v>
      </c>
      <c r="D88" s="35" t="str">
        <f t="shared" si="13"/>
        <v>Mercredi</v>
      </c>
      <c r="E88" s="124">
        <f t="shared" si="9"/>
        <v>13</v>
      </c>
      <c r="F88" s="124">
        <f t="shared" si="10"/>
        <v>3</v>
      </c>
      <c r="G88" s="27"/>
      <c r="H88" s="28" t="str">
        <f>CONCATENATE(SUMIF($E$6:$E88,$E88,$K$6:$K$370)," / ",SUMIF($E$6:$E$370,$E88,$K$6:$K452))</f>
        <v>0 / 0</v>
      </c>
      <c r="I88" s="28" t="str">
        <f>CONCATENATE(SUMIF($F$6:$F88,$F88,$K$6:$K452)," / ",SUMIF($F$6:$F$370,$F88,$K$6:$K452))</f>
        <v>68,195 / 68,195</v>
      </c>
      <c r="J88" s="28" t="str">
        <f>CONCATENATE(SUM($K$6:$K88)," / ",SUM($K$6:$K$370))</f>
        <v>180,895 / 180,895</v>
      </c>
      <c r="K88" s="245">
        <v>0</v>
      </c>
      <c r="L88" s="28"/>
      <c r="M88" s="28" t="str">
        <f>CONCATENATE(SUMIF($E$6:$E88,$E88,$P$6:$P$370)," / ",SUMIF($E$6:$E$370,$E88,$P$6:$P$370))</f>
        <v>0 / 0</v>
      </c>
      <c r="N88" s="28" t="str">
        <f ca="1">CONCATENATE(SUMIF($F$6:$F88,$F88,$P88)," / ",SUMIF($F$6:$F$370,$F88,$P$6:$P$370))</f>
        <v>0 / 0</v>
      </c>
      <c r="O88" s="28" t="str">
        <f t="shared" si="11"/>
        <v>0 / 30</v>
      </c>
      <c r="P88" s="245">
        <v>0</v>
      </c>
      <c r="Q88" s="28"/>
      <c r="R88" s="246">
        <v>0</v>
      </c>
      <c r="S88" s="28" t="str">
        <f>CONCATENATE(SUMIF($E$6:$E88,E88,$R$6:$R$370)," / ",SUMIF($E$6:$E$370,E88,$R$6:$R$370))</f>
        <v>0 / 0</v>
      </c>
      <c r="T88" s="28" t="str">
        <f>CONCATENATE(SUMIF($F$6:$F88,$F88,$R$6:$R$370)," / ",SUMIF($F$6:$F$370,$F88,$R$6:$R$370))</f>
        <v>0 / 0</v>
      </c>
      <c r="U88" s="28" t="str">
        <f>CONCATENATE(SUM($R$6:$R88)," / ",SUM($R$6:$R$370))</f>
        <v>0 / 0</v>
      </c>
    </row>
    <row r="89" spans="2:21" ht="13" thickBot="1">
      <c r="B89" s="28"/>
      <c r="C89" s="237">
        <f t="shared" si="12"/>
        <v>42453</v>
      </c>
      <c r="D89" s="35" t="str">
        <f t="shared" si="13"/>
        <v>Jeudi</v>
      </c>
      <c r="E89" s="124">
        <f t="shared" si="9"/>
        <v>13</v>
      </c>
      <c r="F89" s="124">
        <f t="shared" si="10"/>
        <v>3</v>
      </c>
      <c r="G89" s="27"/>
      <c r="H89" s="28" t="str">
        <f>CONCATENATE(SUMIF($E$6:$E89,$E89,$K$6:$K$370)," / ",SUMIF($E$6:$E$370,$E89,$K$6:$K453))</f>
        <v>0 / 0</v>
      </c>
      <c r="I89" s="28" t="str">
        <f>CONCATENATE(SUMIF($F$6:$F89,$F89,$K$6:$K453)," / ",SUMIF($F$6:$F$370,$F89,$K$6:$K453))</f>
        <v>68,195 / 68,195</v>
      </c>
      <c r="J89" s="28" t="str">
        <f>CONCATENATE(SUM($K$6:$K89)," / ",SUM($K$6:$K$370))</f>
        <v>180,895 / 180,895</v>
      </c>
      <c r="K89" s="245">
        <v>0</v>
      </c>
      <c r="L89" s="28"/>
      <c r="M89" s="28" t="str">
        <f>CONCATENATE(SUMIF($E$6:$E89,$E89,$P$6:$P$370)," / ",SUMIF($E$6:$E$370,$E89,$P$6:$P$370))</f>
        <v>0 / 0</v>
      </c>
      <c r="N89" s="28" t="str">
        <f ca="1">CONCATENATE(SUMIF($F$6:$F89,$F89,$P89)," / ",SUMIF($F$6:$F$370,$F89,$P$6:$P$370))</f>
        <v>0 / 0</v>
      </c>
      <c r="O89" s="28" t="str">
        <f t="shared" si="11"/>
        <v>0 / 30</v>
      </c>
      <c r="P89" s="245">
        <v>0</v>
      </c>
      <c r="Q89" s="28"/>
      <c r="R89" s="246">
        <v>0</v>
      </c>
      <c r="S89" s="28" t="str">
        <f>CONCATENATE(SUMIF($E$6:$E89,E89,$R$6:$R$370)," / ",SUMIF($E$6:$E$370,E89,$R$6:$R$370))</f>
        <v>0 / 0</v>
      </c>
      <c r="T89" s="28" t="str">
        <f>CONCATENATE(SUMIF($F$6:$F89,$F89,$R$6:$R$370)," / ",SUMIF($F$6:$F$370,$F89,$R$6:$R$370))</f>
        <v>0 / 0</v>
      </c>
      <c r="U89" s="28" t="str">
        <f>CONCATENATE(SUM($R$6:$R89)," / ",SUM($R$6:$R$370))</f>
        <v>0 / 0</v>
      </c>
    </row>
    <row r="90" spans="2:21" ht="13" thickBot="1">
      <c r="B90" s="28"/>
      <c r="C90" s="237">
        <f t="shared" si="12"/>
        <v>42454</v>
      </c>
      <c r="D90" s="35" t="str">
        <f t="shared" si="13"/>
        <v>Vendredi</v>
      </c>
      <c r="E90" s="124">
        <f t="shared" si="9"/>
        <v>13</v>
      </c>
      <c r="F90" s="124">
        <f t="shared" si="10"/>
        <v>3</v>
      </c>
      <c r="G90" s="27"/>
      <c r="H90" s="28" t="str">
        <f>CONCATENATE(SUMIF($E$6:$E90,$E90,$K$6:$K$370)," / ",SUMIF($E$6:$E$370,$E90,$K$6:$K454))</f>
        <v>0 / 0</v>
      </c>
      <c r="I90" s="28" t="str">
        <f>CONCATENATE(SUMIF($F$6:$F90,$F90,$K$6:$K454)," / ",SUMIF($F$6:$F$370,$F90,$K$6:$K454))</f>
        <v>68,195 / 68,195</v>
      </c>
      <c r="J90" s="28" t="str">
        <f>CONCATENATE(SUM($K$6:$K90)," / ",SUM($K$6:$K$370))</f>
        <v>180,895 / 180,895</v>
      </c>
      <c r="K90" s="245">
        <v>0</v>
      </c>
      <c r="L90" s="28"/>
      <c r="M90" s="28" t="str">
        <f>CONCATENATE(SUMIF($E$6:$E90,$E90,$P$6:$P$370)," / ",SUMIF($E$6:$E$370,$E90,$P$6:$P$370))</f>
        <v>0 / 0</v>
      </c>
      <c r="N90" s="28" t="str">
        <f ca="1">CONCATENATE(SUMIF($F$6:$F90,$F90,$P90)," / ",SUMIF($F$6:$F$370,$F90,$P$6:$P$370))</f>
        <v>0 / 0</v>
      </c>
      <c r="O90" s="28" t="str">
        <f t="shared" si="11"/>
        <v>0 / 30</v>
      </c>
      <c r="P90" s="245">
        <v>0</v>
      </c>
      <c r="Q90" s="28"/>
      <c r="R90" s="246">
        <v>0</v>
      </c>
      <c r="S90" s="28" t="str">
        <f>CONCATENATE(SUMIF($E$6:$E90,E90,$R$6:$R$370)," / ",SUMIF($E$6:$E$370,E90,$R$6:$R$370))</f>
        <v>0 / 0</v>
      </c>
      <c r="T90" s="28" t="str">
        <f>CONCATENATE(SUMIF($F$6:$F90,$F90,$R$6:$R$370)," / ",SUMIF($F$6:$F$370,$F90,$R$6:$R$370))</f>
        <v>0 / 0</v>
      </c>
      <c r="U90" s="28" t="str">
        <f>CONCATENATE(SUM($R$6:$R90)," / ",SUM($R$6:$R$370))</f>
        <v>0 / 0</v>
      </c>
    </row>
    <row r="91" spans="2:21" ht="13" thickBot="1">
      <c r="B91" s="28"/>
      <c r="C91" s="237">
        <f t="shared" si="12"/>
        <v>42455</v>
      </c>
      <c r="D91" s="35" t="str">
        <f t="shared" si="13"/>
        <v>samedi</v>
      </c>
      <c r="E91" s="124">
        <f t="shared" si="9"/>
        <v>13</v>
      </c>
      <c r="F91" s="124">
        <f t="shared" si="10"/>
        <v>3</v>
      </c>
      <c r="G91" s="27"/>
      <c r="H91" s="28" t="str">
        <f>CONCATENATE(SUMIF($E$6:$E91,$E91,$K$6:$K$370)," / ",SUMIF($E$6:$E$370,$E91,$K$6:$K455))</f>
        <v>0 / 0</v>
      </c>
      <c r="I91" s="28" t="str">
        <f>CONCATENATE(SUMIF($F$6:$F91,$F91,$K$6:$K455)," / ",SUMIF($F$6:$F$370,$F91,$K$6:$K455))</f>
        <v>68,195 / 68,195</v>
      </c>
      <c r="J91" s="28" t="str">
        <f>CONCATENATE(SUM($K$6:$K91)," / ",SUM($K$6:$K$370))</f>
        <v>180,895 / 180,895</v>
      </c>
      <c r="K91" s="245">
        <v>0</v>
      </c>
      <c r="L91" s="28"/>
      <c r="M91" s="28" t="str">
        <f>CONCATENATE(SUMIF($E$6:$E91,$E91,$P$6:$P$370)," / ",SUMIF($E$6:$E$370,$E91,$P$6:$P$370))</f>
        <v>0 / 0</v>
      </c>
      <c r="N91" s="28" t="str">
        <f ca="1">CONCATENATE(SUMIF($F$6:$F91,$F91,$P91)," / ",SUMIF($F$6:$F$370,$F91,$P$6:$P$370))</f>
        <v>0 / 0</v>
      </c>
      <c r="O91" s="28" t="str">
        <f t="shared" si="11"/>
        <v>0 / 30</v>
      </c>
      <c r="P91" s="245">
        <v>0</v>
      </c>
      <c r="Q91" s="28"/>
      <c r="R91" s="246">
        <v>0</v>
      </c>
      <c r="S91" s="28" t="str">
        <f>CONCATENATE(SUMIF($E$6:$E91,E91,$R$6:$R$370)," / ",SUMIF($E$6:$E$370,E91,$R$6:$R$370))</f>
        <v>0 / 0</v>
      </c>
      <c r="T91" s="28" t="str">
        <f>CONCATENATE(SUMIF($F$6:$F91,$F91,$R$6:$R$370)," / ",SUMIF($F$6:$F$370,$F91,$R$6:$R$370))</f>
        <v>0 / 0</v>
      </c>
      <c r="U91" s="28" t="str">
        <f>CONCATENATE(SUM($R$6:$R91)," / ",SUM($R$6:$R$370))</f>
        <v>0 / 0</v>
      </c>
    </row>
    <row r="92" spans="2:21" ht="13" thickBot="1">
      <c r="B92" s="28"/>
      <c r="C92" s="237">
        <f t="shared" si="12"/>
        <v>42456</v>
      </c>
      <c r="D92" s="35" t="str">
        <f t="shared" si="13"/>
        <v>Dimanche</v>
      </c>
      <c r="E92" s="124">
        <f t="shared" si="9"/>
        <v>14</v>
      </c>
      <c r="F92" s="124">
        <f t="shared" si="10"/>
        <v>3</v>
      </c>
      <c r="G92" s="27"/>
      <c r="H92" s="28" t="str">
        <f>CONCATENATE(SUMIF($E$6:$E92,$E92,$K$6:$K$370)," / ",SUMIF($E$6:$E$370,$E92,$K$6:$K456))</f>
        <v>0 / 0</v>
      </c>
      <c r="I92" s="28" t="str">
        <f>CONCATENATE(SUMIF($F$6:$F92,$F92,$K$6:$K456)," / ",SUMIF($F$6:$F$370,$F92,$K$6:$K456))</f>
        <v>68,195 / 68,195</v>
      </c>
      <c r="J92" s="28" t="str">
        <f>CONCATENATE(SUM($K$6:$K92)," / ",SUM($K$6:$K$370))</f>
        <v>180,895 / 180,895</v>
      </c>
      <c r="K92" s="245">
        <v>0</v>
      </c>
      <c r="L92" s="28"/>
      <c r="M92" s="28" t="str">
        <f>CONCATENATE(SUMIF($E$6:$E92,$E92,$P$6:$P$370)," / ",SUMIF($E$6:$E$370,$E92,$P$6:$P$370))</f>
        <v>0 / 0</v>
      </c>
      <c r="N92" s="28" t="str">
        <f ca="1">CONCATENATE(SUMIF($F$6:$F92,$F92,$P92)," / ",SUMIF($F$6:$F$370,$F92,$P$6:$P$370))</f>
        <v>0 / 0</v>
      </c>
      <c r="O92" s="28" t="str">
        <f t="shared" si="11"/>
        <v>0 / 30</v>
      </c>
      <c r="P92" s="245">
        <v>0</v>
      </c>
      <c r="Q92" s="28"/>
      <c r="R92" s="246">
        <v>0</v>
      </c>
      <c r="S92" s="28" t="str">
        <f>CONCATENATE(SUMIF($E$6:$E92,E92,$R$6:$R$370)," / ",SUMIF($E$6:$E$370,E92,$R$6:$R$370))</f>
        <v>0 / 0</v>
      </c>
      <c r="T92" s="28" t="str">
        <f>CONCATENATE(SUMIF($F$6:$F92,$F92,$R$6:$R$370)," / ",SUMIF($F$6:$F$370,$F92,$R$6:$R$370))</f>
        <v>0 / 0</v>
      </c>
      <c r="U92" s="28" t="str">
        <f>CONCATENATE(SUM($R$6:$R92)," / ",SUM($R$6:$R$370))</f>
        <v>0 / 0</v>
      </c>
    </row>
    <row r="93" spans="2:21" ht="13" thickBot="1">
      <c r="B93" s="28"/>
      <c r="C93" s="237">
        <f t="shared" si="12"/>
        <v>42457</v>
      </c>
      <c r="D93" s="35" t="str">
        <f t="shared" si="13"/>
        <v>Lundi</v>
      </c>
      <c r="E93" s="124">
        <f t="shared" si="9"/>
        <v>14</v>
      </c>
      <c r="F93" s="124">
        <f t="shared" si="10"/>
        <v>3</v>
      </c>
      <c r="G93" s="27"/>
      <c r="H93" s="28" t="str">
        <f>CONCATENATE(SUMIF($E$6:$E93,$E93,$K$6:$K$370)," / ",SUMIF($E$6:$E$370,$E93,$K$6:$K457))</f>
        <v>0 / 0</v>
      </c>
      <c r="I93" s="28" t="str">
        <f>CONCATENATE(SUMIF($F$6:$F93,$F93,$K$6:$K457)," / ",SUMIF($F$6:$F$370,$F93,$K$6:$K457))</f>
        <v>68,195 / 68,195</v>
      </c>
      <c r="J93" s="28" t="str">
        <f>CONCATENATE(SUM($K$6:$K93)," / ",SUM($K$6:$K$370))</f>
        <v>180,895 / 180,895</v>
      </c>
      <c r="K93" s="245">
        <v>0</v>
      </c>
      <c r="L93" s="28"/>
      <c r="M93" s="28" t="str">
        <f>CONCATENATE(SUMIF($E$6:$E93,$E93,$P$6:$P$370)," / ",SUMIF($E$6:$E$370,$E93,$P$6:$P$370))</f>
        <v>0 / 0</v>
      </c>
      <c r="N93" s="28" t="str">
        <f ca="1">CONCATENATE(SUMIF($F$6:$F93,$F93,$P93)," / ",SUMIF($F$6:$F$370,$F93,$P$6:$P$370))</f>
        <v>0 / 0</v>
      </c>
      <c r="O93" s="28" t="str">
        <f t="shared" si="11"/>
        <v>0 / 30</v>
      </c>
      <c r="P93" s="245">
        <v>0</v>
      </c>
      <c r="Q93" s="28"/>
      <c r="R93" s="246">
        <v>0</v>
      </c>
      <c r="S93" s="28" t="str">
        <f>CONCATENATE(SUMIF($E$6:$E93,E93,$R$6:$R$370)," / ",SUMIF($E$6:$E$370,E93,$R$6:$R$370))</f>
        <v>0 / 0</v>
      </c>
      <c r="T93" s="28" t="str">
        <f>CONCATENATE(SUMIF($F$6:$F93,$F93,$R$6:$R$370)," / ",SUMIF($F$6:$F$370,$F93,$R$6:$R$370))</f>
        <v>0 / 0</v>
      </c>
      <c r="U93" s="28" t="str">
        <f>CONCATENATE(SUM($R$6:$R93)," / ",SUM($R$6:$R$370))</f>
        <v>0 / 0</v>
      </c>
    </row>
    <row r="94" spans="2:21" ht="13" thickBot="1">
      <c r="B94" s="28"/>
      <c r="C94" s="237">
        <f t="shared" si="12"/>
        <v>42458</v>
      </c>
      <c r="D94" s="35" t="str">
        <f t="shared" si="13"/>
        <v>Mardi</v>
      </c>
      <c r="E94" s="124">
        <f t="shared" si="9"/>
        <v>14</v>
      </c>
      <c r="F94" s="124">
        <f t="shared" si="10"/>
        <v>3</v>
      </c>
      <c r="G94" s="27"/>
      <c r="H94" s="28" t="str">
        <f>CONCATENATE(SUMIF($E$6:$E94,$E94,$K$6:$K$370)," / ",SUMIF($E$6:$E$370,$E94,$K$6:$K458))</f>
        <v>0 / 0</v>
      </c>
      <c r="I94" s="28" t="str">
        <f>CONCATENATE(SUMIF($F$6:$F94,$F94,$K$6:$K458)," / ",SUMIF($F$6:$F$370,$F94,$K$6:$K458))</f>
        <v>68,195 / 68,195</v>
      </c>
      <c r="J94" s="28" t="str">
        <f>CONCATENATE(SUM($K$6:$K94)," / ",SUM($K$6:$K$370))</f>
        <v>180,895 / 180,895</v>
      </c>
      <c r="K94" s="245">
        <v>0</v>
      </c>
      <c r="L94" s="28"/>
      <c r="M94" s="28" t="str">
        <f>CONCATENATE(SUMIF($E$6:$E94,$E94,$P$6:$P$370)," / ",SUMIF($E$6:$E$370,$E94,$P$6:$P$370))</f>
        <v>0 / 0</v>
      </c>
      <c r="N94" s="28" t="str">
        <f ca="1">CONCATENATE(SUMIF($F$6:$F94,$F94,$P94)," / ",SUMIF($F$6:$F$370,$F94,$P$6:$P$370))</f>
        <v>0 / 0</v>
      </c>
      <c r="O94" s="28" t="str">
        <f t="shared" si="11"/>
        <v>0 / 30</v>
      </c>
      <c r="P94" s="245">
        <v>0</v>
      </c>
      <c r="Q94" s="28"/>
      <c r="R94" s="246">
        <v>0</v>
      </c>
      <c r="S94" s="28" t="str">
        <f>CONCATENATE(SUMIF($E$6:$E94,E94,$R$6:$R$370)," / ",SUMIF($E$6:$E$370,E94,$R$6:$R$370))</f>
        <v>0 / 0</v>
      </c>
      <c r="T94" s="28" t="str">
        <f>CONCATENATE(SUMIF($F$6:$F94,$F94,$R$6:$R$370)," / ",SUMIF($F$6:$F$370,$F94,$R$6:$R$370))</f>
        <v>0 / 0</v>
      </c>
      <c r="U94" s="28" t="str">
        <f>CONCATENATE(SUM($R$6:$R94)," / ",SUM($R$6:$R$370))</f>
        <v>0 / 0</v>
      </c>
    </row>
    <row r="95" spans="2:21" ht="13" thickBot="1">
      <c r="B95" s="28"/>
      <c r="C95" s="237">
        <f t="shared" si="12"/>
        <v>42459</v>
      </c>
      <c r="D95" s="35" t="str">
        <f>IF(EXACT(WEEKDAY(C95),1),"Dimanche",IF(EXACT(WEEKDAY(C95),2),"Lundi",IF(EXACT(WEEKDAY(C95),3),"Mardi",IF(EXACT(WEEKDAY(C95),4),"Mercredi",IF(EXACT(WEEKDAY(C95),5),"Jeudi",IF(EXACT(WEEKDAY(C95),6),"Vendredi",IF(EXACT(WEEKDAY(C95),7),"samedi","Erreur de date")))))))</f>
        <v>Mercredi</v>
      </c>
      <c r="E95" s="124">
        <f t="shared" si="9"/>
        <v>14</v>
      </c>
      <c r="F95" s="124">
        <f t="shared" si="10"/>
        <v>3</v>
      </c>
      <c r="G95" s="27"/>
      <c r="H95" s="28" t="str">
        <f>CONCATENATE(SUMIF($E$6:$E95,$E95,$K$6:$K$370)," / ",SUMIF($E$6:$E$370,$E95,$K$6:$K459))</f>
        <v>0 / 0</v>
      </c>
      <c r="I95" s="28" t="str">
        <f>CONCATENATE(SUMIF($F$6:$F95,$F95,$K$6:$K459)," / ",SUMIF($F$6:$F$370,$F95,$K$6:$K459))</f>
        <v>68,195 / 68,195</v>
      </c>
      <c r="J95" s="28" t="str">
        <f>CONCATENATE(SUM($K$6:$K95)," / ",SUM($K$6:$K$370))</f>
        <v>180,895 / 180,895</v>
      </c>
      <c r="K95" s="245">
        <v>0</v>
      </c>
      <c r="L95" s="28"/>
      <c r="M95" s="28" t="str">
        <f>CONCATENATE(SUMIF($E$6:$E95,$E95,$P$6:$P$370)," / ",SUMIF($E$6:$E$370,$E95,$P$6:$P$370))</f>
        <v>0 / 0</v>
      </c>
      <c r="N95" s="28" t="str">
        <f ca="1">CONCATENATE(SUMIF($F$6:$F95,$F95,$P95)," / ",SUMIF($F$6:$F$370,$F95,$P$6:$P$370))</f>
        <v>0 / 0</v>
      </c>
      <c r="O95" s="28" t="str">
        <f t="shared" si="11"/>
        <v>0 / 30</v>
      </c>
      <c r="P95" s="245">
        <v>0</v>
      </c>
      <c r="Q95" s="28"/>
      <c r="R95" s="246">
        <v>0</v>
      </c>
      <c r="S95" s="28" t="str">
        <f>CONCATENATE(SUMIF($E$6:$E95,E95,$R$6:$R$370)," / ",SUMIF($E$6:$E$370,E95,$R$6:$R$370))</f>
        <v>0 / 0</v>
      </c>
      <c r="T95" s="28" t="str">
        <f>CONCATENATE(SUMIF($F$6:$F95,$F95,$R$6:$R$370)," / ",SUMIF($F$6:$F$370,$F95,$R$6:$R$370))</f>
        <v>0 / 0</v>
      </c>
      <c r="U95" s="28" t="str">
        <f>CONCATENATE(SUM($R$6:$R95)," / ",SUM($R$6:$R$370))</f>
        <v>0 / 0</v>
      </c>
    </row>
    <row r="96" spans="2:21" ht="13" thickBot="1">
      <c r="B96" s="28"/>
      <c r="C96" s="237">
        <f t="shared" si="12"/>
        <v>42460</v>
      </c>
      <c r="D96" s="35" t="str">
        <f t="shared" ref="D96:D159" si="16">IF(EXACT(WEEKDAY(C96),1),"Dimanche",IF(EXACT(WEEKDAY(C96),2),"Lundi",IF(EXACT(WEEKDAY(C96),3),"Mardi",IF(EXACT(WEEKDAY(C96),4),"Mercredi",IF(EXACT(WEEKDAY(C96),5),"Jeudi",IF(EXACT(WEEKDAY(C96),6),"Vendredi",IF(EXACT(WEEKDAY(C96),7),"samedi","Erreur de date")))))))</f>
        <v>Jeudi</v>
      </c>
      <c r="E96" s="124">
        <f t="shared" si="9"/>
        <v>14</v>
      </c>
      <c r="F96" s="124">
        <f t="shared" si="10"/>
        <v>3</v>
      </c>
      <c r="G96" s="27"/>
      <c r="H96" s="28" t="str">
        <f>CONCATENATE(SUMIF($E$6:$E96,$E96,$K$6:$K$370)," / ",SUMIF($E$6:$E$370,$E96,$K$6:$K460))</f>
        <v>0 / 0</v>
      </c>
      <c r="I96" s="28" t="str">
        <f>CONCATENATE(SUMIF($F$6:$F96,$F96,$K$6:$K460)," / ",SUMIF($F$6:$F$370,$F96,$K$6:$K460))</f>
        <v>68,195 / 68,195</v>
      </c>
      <c r="J96" s="28" t="str">
        <f>CONCATENATE(SUM($K$6:$K96)," / ",SUM($K$6:$K$370))</f>
        <v>180,895 / 180,895</v>
      </c>
      <c r="K96" s="245">
        <v>0</v>
      </c>
      <c r="L96" s="28"/>
      <c r="M96" s="28" t="str">
        <f>CONCATENATE(SUMIF($E$6:$E96,$E96,$P$6:$P$370)," / ",SUMIF($E$6:$E$370,$E96,$P$6:$P$370))</f>
        <v>0 / 0</v>
      </c>
      <c r="N96" s="28" t="str">
        <f ca="1">CONCATENATE(SUMIF($F$6:$F96,$F96,$P96)," / ",SUMIF($F$6:$F$370,$F96,$P$6:$P$370))</f>
        <v>0 / 0</v>
      </c>
      <c r="O96" s="28" t="str">
        <f t="shared" si="11"/>
        <v>0 / 30</v>
      </c>
      <c r="P96" s="245">
        <v>0</v>
      </c>
      <c r="Q96" s="28"/>
      <c r="R96" s="246">
        <v>0</v>
      </c>
      <c r="S96" s="28" t="str">
        <f>CONCATENATE(SUMIF($E$6:$E96,E96,$R$6:$R$370)," / ",SUMIF($E$6:$E$370,E96,$R$6:$R$370))</f>
        <v>0 / 0</v>
      </c>
      <c r="T96" s="28" t="str">
        <f>CONCATENATE(SUMIF($F$6:$F96,$F96,$R$6:$R$370)," / ",SUMIF($F$6:$F$370,$F96,$R$6:$R$370))</f>
        <v>0 / 0</v>
      </c>
      <c r="U96" s="28" t="str">
        <f>CONCATENATE(SUM($R$6:$R96)," / ",SUM($R$6:$R$370))</f>
        <v>0 / 0</v>
      </c>
    </row>
    <row r="97" spans="2:21" ht="13" thickBot="1">
      <c r="B97" s="28"/>
      <c r="C97" s="237">
        <f t="shared" si="12"/>
        <v>42461</v>
      </c>
      <c r="D97" s="35" t="str">
        <f t="shared" si="16"/>
        <v>Vendredi</v>
      </c>
      <c r="E97" s="124">
        <f t="shared" si="9"/>
        <v>14</v>
      </c>
      <c r="F97" s="124">
        <f t="shared" si="10"/>
        <v>4</v>
      </c>
      <c r="G97" s="27"/>
      <c r="H97" s="28" t="str">
        <f>CONCATENATE(SUMIF($E$6:$E97,$E97,$K$6:$K$370)," / ",SUMIF($E$6:$E$370,$E97,$K$6:$K461))</f>
        <v>0 / 0</v>
      </c>
      <c r="I97" s="28" t="str">
        <f>CONCATENATE(SUMIF($F$6:$F97,$F97,$K$6:$K461)," / ",SUMIF($F$6:$F$370,$F97,$K$6:$K461))</f>
        <v>0 / 0</v>
      </c>
      <c r="J97" s="28" t="str">
        <f>CONCATENATE(SUM($K$6:$K97)," / ",SUM($K$6:$K$370))</f>
        <v>180,895 / 180,895</v>
      </c>
      <c r="K97" s="245">
        <v>0</v>
      </c>
      <c r="L97" s="28"/>
      <c r="M97" s="28" t="str">
        <f>CONCATENATE(SUMIF($E$6:$E97,$E97,$P$6:$P$370)," / ",SUMIF($E$6:$E$370,$E97,$P$6:$P$370))</f>
        <v>0 / 0</v>
      </c>
      <c r="N97" s="28" t="str">
        <f ca="1">CONCATENATE(SUMIF($F$6:$F97,$F97,$P97)," / ",SUMIF($F$6:$F$370,$F97,$P$6:$P$370))</f>
        <v>0 / 0</v>
      </c>
      <c r="O97" s="28" t="str">
        <f t="shared" si="11"/>
        <v>0 / 30</v>
      </c>
      <c r="P97" s="245">
        <v>0</v>
      </c>
      <c r="Q97" s="28"/>
      <c r="R97" s="246">
        <v>0</v>
      </c>
      <c r="S97" s="28" t="str">
        <f>CONCATENATE(SUMIF($E$6:$E97,E97,$R$6:$R$370)," / ",SUMIF($E$6:$E$370,E97,$R$6:$R$370))</f>
        <v>0 / 0</v>
      </c>
      <c r="T97" s="28" t="str">
        <f>CONCATENATE(SUMIF($F$6:$F97,$F97,$R$6:$R$370)," / ",SUMIF($F$6:$F$370,$F97,$R$6:$R$370))</f>
        <v>0 / 0</v>
      </c>
      <c r="U97" s="28" t="str">
        <f>CONCATENATE(SUM($R$6:$R97)," / ",SUM($R$6:$R$370))</f>
        <v>0 / 0</v>
      </c>
    </row>
    <row r="98" spans="2:21" ht="13" thickBot="1">
      <c r="B98" s="28"/>
      <c r="C98" s="237">
        <f t="shared" si="12"/>
        <v>42462</v>
      </c>
      <c r="D98" s="35" t="str">
        <f t="shared" si="16"/>
        <v>samedi</v>
      </c>
      <c r="E98" s="124">
        <f t="shared" si="9"/>
        <v>14</v>
      </c>
      <c r="F98" s="124">
        <f t="shared" si="10"/>
        <v>4</v>
      </c>
      <c r="G98" s="27"/>
      <c r="H98" s="28" t="str">
        <f>CONCATENATE(SUMIF($E$6:$E98,$E98,$K$6:$K$370)," / ",SUMIF($E$6:$E$370,$E98,$K$6:$K462))</f>
        <v>0 / 0</v>
      </c>
      <c r="I98" s="28" t="str">
        <f>CONCATENATE(SUMIF($F$6:$F98,$F98,$K$6:$K462)," / ",SUMIF($F$6:$F$370,$F98,$K$6:$K462))</f>
        <v>0 / 0</v>
      </c>
      <c r="J98" s="28" t="str">
        <f>CONCATENATE(SUM($K$6:$K98)," / ",SUM($K$6:$K$370))</f>
        <v>180,895 / 180,895</v>
      </c>
      <c r="K98" s="245">
        <v>0</v>
      </c>
      <c r="L98" s="28"/>
      <c r="M98" s="28" t="str">
        <f>CONCATENATE(SUMIF($E$6:$E98,$E98,$P$6:$P$370)," / ",SUMIF($E$6:$E$370,$E98,$P$6:$P$370))</f>
        <v>0 / 0</v>
      </c>
      <c r="N98" s="28" t="str">
        <f ca="1">CONCATENATE(SUMIF($F$6:$F98,$F98,$P98)," / ",SUMIF($F$6:$F$370,$F98,$P$6:$P$370))</f>
        <v>0 / 0</v>
      </c>
      <c r="O98" s="28" t="str">
        <f t="shared" si="11"/>
        <v>0 / 30</v>
      </c>
      <c r="P98" s="245">
        <v>0</v>
      </c>
      <c r="Q98" s="28"/>
      <c r="R98" s="246">
        <v>0</v>
      </c>
      <c r="S98" s="28" t="str">
        <f>CONCATENATE(SUMIF($E$6:$E98,E98,$R$6:$R$370)," / ",SUMIF($E$6:$E$370,E98,$R$6:$R$370))</f>
        <v>0 / 0</v>
      </c>
      <c r="T98" s="28" t="str">
        <f>CONCATENATE(SUMIF($F$6:$F98,$F98,$R$6:$R$370)," / ",SUMIF($F$6:$F$370,$F98,$R$6:$R$370))</f>
        <v>0 / 0</v>
      </c>
      <c r="U98" s="28" t="str">
        <f>CONCATENATE(SUM($R$6:$R98)," / ",SUM($R$6:$R$370))</f>
        <v>0 / 0</v>
      </c>
    </row>
    <row r="99" spans="2:21" ht="13" thickBot="1">
      <c r="B99" s="28"/>
      <c r="C99" s="237">
        <f t="shared" si="12"/>
        <v>42463</v>
      </c>
      <c r="D99" s="35" t="str">
        <f t="shared" si="16"/>
        <v>Dimanche</v>
      </c>
      <c r="E99" s="124">
        <f t="shared" si="9"/>
        <v>15</v>
      </c>
      <c r="F99" s="124">
        <f t="shared" si="10"/>
        <v>4</v>
      </c>
      <c r="G99" s="27"/>
      <c r="H99" s="28" t="str">
        <f>CONCATENATE(SUMIF($E$6:$E99,$E99,$K$6:$K$370)," / ",SUMIF($E$6:$E$370,$E99,$K$6:$K463))</f>
        <v>0 / 0</v>
      </c>
      <c r="I99" s="28" t="str">
        <f>CONCATENATE(SUMIF($F$6:$F99,$F99,$K$6:$K463)," / ",SUMIF($F$6:$F$370,$F99,$K$6:$K463))</f>
        <v>0 / 0</v>
      </c>
      <c r="J99" s="28" t="str">
        <f>CONCATENATE(SUM($K$6:$K99)," / ",SUM($K$6:$K$370))</f>
        <v>180,895 / 180,895</v>
      </c>
      <c r="K99" s="245">
        <v>0</v>
      </c>
      <c r="L99" s="28"/>
      <c r="M99" s="28" t="str">
        <f>CONCATENATE(SUMIF($E$6:$E99,$E99,$P$6:$P$370)," / ",SUMIF($E$6:$E$370,$E99,$P$6:$P$370))</f>
        <v>0 / 0</v>
      </c>
      <c r="N99" s="28" t="str">
        <f ca="1">CONCATENATE(SUMIF($F$6:$F99,$F99,$P99)," / ",SUMIF($F$6:$F$370,$F99,$P$6:$P$370))</f>
        <v>0 / 0</v>
      </c>
      <c r="O99" s="28" t="str">
        <f t="shared" si="11"/>
        <v>0 / 30</v>
      </c>
      <c r="P99" s="245">
        <v>0</v>
      </c>
      <c r="Q99" s="28"/>
      <c r="R99" s="246">
        <v>0</v>
      </c>
      <c r="S99" s="28" t="str">
        <f>CONCATENATE(SUMIF($E$6:$E99,E99,$R$6:$R$370)," / ",SUMIF($E$6:$E$370,E99,$R$6:$R$370))</f>
        <v>0 / 0</v>
      </c>
      <c r="T99" s="28" t="str">
        <f>CONCATENATE(SUMIF($F$6:$F99,$F99,$R$6:$R$370)," / ",SUMIF($F$6:$F$370,$F99,$R$6:$R$370))</f>
        <v>0 / 0</v>
      </c>
      <c r="U99" s="28" t="str">
        <f>CONCATENATE(SUM($R$6:$R99)," / ",SUM($R$6:$R$370))</f>
        <v>0 / 0</v>
      </c>
    </row>
    <row r="100" spans="2:21" ht="13" thickBot="1">
      <c r="B100" s="28"/>
      <c r="C100" s="237">
        <f t="shared" si="12"/>
        <v>42464</v>
      </c>
      <c r="D100" s="35" t="str">
        <f t="shared" si="16"/>
        <v>Lundi</v>
      </c>
      <c r="E100" s="124">
        <f t="shared" si="9"/>
        <v>15</v>
      </c>
      <c r="F100" s="124">
        <f t="shared" si="10"/>
        <v>4</v>
      </c>
      <c r="G100" s="27"/>
      <c r="H100" s="28" t="str">
        <f>CONCATENATE(SUMIF($E$6:$E100,$E100,$K$6:$K$370)," / ",SUMIF($E$6:$E$370,$E100,$K$6:$K464))</f>
        <v>0 / 0</v>
      </c>
      <c r="I100" s="28" t="str">
        <f>CONCATENATE(SUMIF($F$6:$F100,$F100,$K$6:$K464)," / ",SUMIF($F$6:$F$370,$F100,$K$6:$K464))</f>
        <v>0 / 0</v>
      </c>
      <c r="J100" s="28" t="str">
        <f>CONCATENATE(SUM($K$6:$K100)," / ",SUM($K$6:$K$370))</f>
        <v>180,895 / 180,895</v>
      </c>
      <c r="K100" s="245">
        <v>0</v>
      </c>
      <c r="L100" s="28"/>
      <c r="M100" s="28" t="str">
        <f>CONCATENATE(SUMIF($E$6:$E100,$E100,$P$6:$P$370)," / ",SUMIF($E$6:$E$370,$E100,$P$6:$P$370))</f>
        <v>0 / 0</v>
      </c>
      <c r="N100" s="28" t="str">
        <f ca="1">CONCATENATE(SUMIF($F$6:$F100,$F100,$P100)," / ",SUMIF($F$6:$F$370,$F100,$P$6:$P$370))</f>
        <v>0 / 0</v>
      </c>
      <c r="O100" s="28" t="str">
        <f t="shared" si="11"/>
        <v>0 / 30</v>
      </c>
      <c r="P100" s="245">
        <v>0</v>
      </c>
      <c r="Q100" s="28"/>
      <c r="R100" s="246">
        <v>0</v>
      </c>
      <c r="S100" s="28" t="str">
        <f>CONCATENATE(SUMIF($E$6:$E100,E100,$R$6:$R$370)," / ",SUMIF($E$6:$E$370,E100,$R$6:$R$370))</f>
        <v>0 / 0</v>
      </c>
      <c r="T100" s="28" t="str">
        <f>CONCATENATE(SUMIF($F$6:$F100,$F100,$R$6:$R$370)," / ",SUMIF($F$6:$F$370,$F100,$R$6:$R$370))</f>
        <v>0 / 0</v>
      </c>
      <c r="U100" s="28" t="str">
        <f>CONCATENATE(SUM($R$6:$R100)," / ",SUM($R$6:$R$370))</f>
        <v>0 / 0</v>
      </c>
    </row>
    <row r="101" spans="2:21" ht="13" thickBot="1">
      <c r="B101" s="28"/>
      <c r="C101" s="237">
        <f t="shared" si="12"/>
        <v>42465</v>
      </c>
      <c r="D101" s="35" t="str">
        <f t="shared" si="16"/>
        <v>Mardi</v>
      </c>
      <c r="E101" s="124">
        <f t="shared" si="9"/>
        <v>15</v>
      </c>
      <c r="F101" s="124">
        <f t="shared" si="10"/>
        <v>4</v>
      </c>
      <c r="G101" s="27"/>
      <c r="H101" s="28" t="str">
        <f>CONCATENATE(SUMIF($E$6:$E101,$E101,$K$6:$K$370)," / ",SUMIF($E$6:$E$370,$E101,$K$6:$K465))</f>
        <v>0 / 0</v>
      </c>
      <c r="I101" s="28" t="str">
        <f>CONCATENATE(SUMIF($F$6:$F101,$F101,$K$6:$K465)," / ",SUMIF($F$6:$F$370,$F101,$K$6:$K465))</f>
        <v>0 / 0</v>
      </c>
      <c r="J101" s="28" t="str">
        <f>CONCATENATE(SUM($K$6:$K101)," / ",SUM($K$6:$K$370))</f>
        <v>180,895 / 180,895</v>
      </c>
      <c r="K101" s="245">
        <v>0</v>
      </c>
      <c r="L101" s="28"/>
      <c r="M101" s="28" t="str">
        <f>CONCATENATE(SUMIF($E$6:$E101,$E101,$P$6:$P$370)," / ",SUMIF($E$6:$E$370,$E101,$P$6:$P$370))</f>
        <v>0 / 0</v>
      </c>
      <c r="N101" s="28" t="str">
        <f ca="1">CONCATENATE(SUMIF($F$6:$F101,$F101,$P101)," / ",SUMIF($F$6:$F$370,$F101,$P$6:$P$370))</f>
        <v>0 / 0</v>
      </c>
      <c r="O101" s="28" t="str">
        <f t="shared" si="11"/>
        <v>0 / 30</v>
      </c>
      <c r="P101" s="245">
        <v>0</v>
      </c>
      <c r="Q101" s="28"/>
      <c r="R101" s="246">
        <v>0</v>
      </c>
      <c r="S101" s="28" t="str">
        <f>CONCATENATE(SUMIF($E$6:$E101,E101,$R$6:$R$370)," / ",SUMIF($E$6:$E$370,E101,$R$6:$R$370))</f>
        <v>0 / 0</v>
      </c>
      <c r="T101" s="28" t="str">
        <f>CONCATENATE(SUMIF($F$6:$F101,$F101,$R$6:$R$370)," / ",SUMIF($F$6:$F$370,$F101,$R$6:$R$370))</f>
        <v>0 / 0</v>
      </c>
      <c r="U101" s="28" t="str">
        <f>CONCATENATE(SUM($R$6:$R101)," / ",SUM($R$6:$R$370))</f>
        <v>0 / 0</v>
      </c>
    </row>
    <row r="102" spans="2:21" ht="13" thickBot="1">
      <c r="B102" s="28"/>
      <c r="C102" s="237">
        <f t="shared" si="12"/>
        <v>42466</v>
      </c>
      <c r="D102" s="35" t="str">
        <f t="shared" si="16"/>
        <v>Mercredi</v>
      </c>
      <c r="E102" s="124">
        <f t="shared" si="9"/>
        <v>15</v>
      </c>
      <c r="F102" s="124">
        <f t="shared" si="10"/>
        <v>4</v>
      </c>
      <c r="G102" s="27"/>
      <c r="H102" s="28" t="str">
        <f>CONCATENATE(SUMIF($E$6:$E102,$E102,$K$6:$K$370)," / ",SUMIF($E$6:$E$370,$E102,$K$6:$K466))</f>
        <v>0 / 0</v>
      </c>
      <c r="I102" s="28" t="str">
        <f>CONCATENATE(SUMIF($F$6:$F102,$F102,$K$6:$K466)," / ",SUMIF($F$6:$F$370,$F102,$K$6:$K466))</f>
        <v>0 / 0</v>
      </c>
      <c r="J102" s="28" t="str">
        <f>CONCATENATE(SUM($K$6:$K102)," / ",SUM($K$6:$K$370))</f>
        <v>180,895 / 180,895</v>
      </c>
      <c r="K102" s="245">
        <v>0</v>
      </c>
      <c r="L102" s="28"/>
      <c r="M102" s="28" t="str">
        <f>CONCATENATE(SUMIF($E$6:$E102,$E102,$P$6:$P$370)," / ",SUMIF($E$6:$E$370,$E102,$P$6:$P$370))</f>
        <v>0 / 0</v>
      </c>
      <c r="N102" s="28" t="str">
        <f ca="1">CONCATENATE(SUMIF($F$6:$F102,$F102,$P102)," / ",SUMIF($F$6:$F$370,$F102,$P$6:$P$370))</f>
        <v>0 / 0</v>
      </c>
      <c r="O102" s="28" t="str">
        <f t="shared" si="11"/>
        <v>0 / 30</v>
      </c>
      <c r="P102" s="245">
        <v>0</v>
      </c>
      <c r="Q102" s="28"/>
      <c r="R102" s="246">
        <v>0</v>
      </c>
      <c r="S102" s="28" t="str">
        <f>CONCATENATE(SUMIF($E$6:$E102,E102,$R$6:$R$370)," / ",SUMIF($E$6:$E$370,E102,$R$6:$R$370))</f>
        <v>0 / 0</v>
      </c>
      <c r="T102" s="28" t="str">
        <f>CONCATENATE(SUMIF($F$6:$F102,$F102,$R$6:$R$370)," / ",SUMIF($F$6:$F$370,$F102,$R$6:$R$370))</f>
        <v>0 / 0</v>
      </c>
      <c r="U102" s="28" t="str">
        <f>CONCATENATE(SUM($R$6:$R102)," / ",SUM($R$6:$R$370))</f>
        <v>0 / 0</v>
      </c>
    </row>
    <row r="103" spans="2:21" ht="13" thickBot="1">
      <c r="B103" s="28"/>
      <c r="C103" s="237">
        <f t="shared" si="12"/>
        <v>42467</v>
      </c>
      <c r="D103" s="35" t="str">
        <f t="shared" si="16"/>
        <v>Jeudi</v>
      </c>
      <c r="E103" s="124">
        <f t="shared" si="9"/>
        <v>15</v>
      </c>
      <c r="F103" s="124">
        <f t="shared" si="10"/>
        <v>4</v>
      </c>
      <c r="G103" s="27"/>
      <c r="H103" s="28" t="str">
        <f>CONCATENATE(SUMIF($E$6:$E103,$E103,$K$6:$K$370)," / ",SUMIF($E$6:$E$370,$E103,$K$6:$K467))</f>
        <v>0 / 0</v>
      </c>
      <c r="I103" s="28" t="str">
        <f>CONCATENATE(SUMIF($F$6:$F103,$F103,$K$6:$K467)," / ",SUMIF($F$6:$F$370,$F103,$K$6:$K467))</f>
        <v>0 / 0</v>
      </c>
      <c r="J103" s="28" t="str">
        <f>CONCATENATE(SUM($K$6:$K103)," / ",SUM($K$6:$K$370))</f>
        <v>180,895 / 180,895</v>
      </c>
      <c r="K103" s="245">
        <v>0</v>
      </c>
      <c r="L103" s="28"/>
      <c r="M103" s="28" t="str">
        <f>CONCATENATE(SUMIF($E$6:$E103,$E103,$P$6:$P$370)," / ",SUMIF($E$6:$E$370,$E103,$P$6:$P$370))</f>
        <v>0 / 0</v>
      </c>
      <c r="N103" s="28" t="str">
        <f ca="1">CONCATENATE(SUMIF($F$6:$F103,$F103,$P103)," / ",SUMIF($F$6:$F$370,$F103,$P$6:$P$370))</f>
        <v>0 / 0</v>
      </c>
      <c r="O103" s="28" t="str">
        <f t="shared" si="11"/>
        <v>0 / 30</v>
      </c>
      <c r="P103" s="245">
        <v>0</v>
      </c>
      <c r="Q103" s="28"/>
      <c r="R103" s="246">
        <v>0</v>
      </c>
      <c r="S103" s="28" t="str">
        <f>CONCATENATE(SUMIF($E$6:$E103,E103,$R$6:$R$370)," / ",SUMIF($E$6:$E$370,E103,$R$6:$R$370))</f>
        <v>0 / 0</v>
      </c>
      <c r="T103" s="28" t="str">
        <f>CONCATENATE(SUMIF($F$6:$F103,$F103,$R$6:$R$370)," / ",SUMIF($F$6:$F$370,$F103,$R$6:$R$370))</f>
        <v>0 / 0</v>
      </c>
      <c r="U103" s="28" t="str">
        <f>CONCATENATE(SUM($R$6:$R103)," / ",SUM($R$6:$R$370))</f>
        <v>0 / 0</v>
      </c>
    </row>
    <row r="104" spans="2:21" ht="13" thickBot="1">
      <c r="B104" s="28"/>
      <c r="C104" s="237">
        <f t="shared" si="12"/>
        <v>42468</v>
      </c>
      <c r="D104" s="35" t="str">
        <f t="shared" si="16"/>
        <v>Vendredi</v>
      </c>
      <c r="E104" s="124">
        <f t="shared" si="9"/>
        <v>15</v>
      </c>
      <c r="F104" s="124">
        <f t="shared" si="10"/>
        <v>4</v>
      </c>
      <c r="G104" s="27"/>
      <c r="H104" s="28" t="str">
        <f>CONCATENATE(SUMIF($E$6:$E104,$E104,$K$6:$K$370)," / ",SUMIF($E$6:$E$370,$E104,$K$6:$K468))</f>
        <v>0 / 0</v>
      </c>
      <c r="I104" s="28" t="str">
        <f>CONCATENATE(SUMIF($F$6:$F104,$F104,$K$6:$K468)," / ",SUMIF($F$6:$F$370,$F104,$K$6:$K468))</f>
        <v>0 / 0</v>
      </c>
      <c r="J104" s="28" t="str">
        <f>CONCATENATE(SUM($K$6:$K104)," / ",SUM($K$6:$K$370))</f>
        <v>180,895 / 180,895</v>
      </c>
      <c r="K104" s="245">
        <v>0</v>
      </c>
      <c r="L104" s="28"/>
      <c r="M104" s="28" t="str">
        <f>CONCATENATE(SUMIF($E$6:$E104,$E104,$P$6:$P$370)," / ",SUMIF($E$6:$E$370,$E104,$P$6:$P$370))</f>
        <v>0 / 0</v>
      </c>
      <c r="N104" s="28" t="str">
        <f ca="1">CONCATENATE(SUMIF($F$6:$F104,$F104,$P104)," / ",SUMIF($F$6:$F$370,$F104,$P$6:$P$370))</f>
        <v>0 / 0</v>
      </c>
      <c r="O104" s="28" t="str">
        <f t="shared" si="11"/>
        <v>0 / 30</v>
      </c>
      <c r="P104" s="245">
        <v>0</v>
      </c>
      <c r="Q104" s="28"/>
      <c r="R104" s="246">
        <v>0</v>
      </c>
      <c r="S104" s="28" t="str">
        <f>CONCATENATE(SUMIF($E$6:$E104,E104,$R$6:$R$370)," / ",SUMIF($E$6:$E$370,E104,$R$6:$R$370))</f>
        <v>0 / 0</v>
      </c>
      <c r="T104" s="28" t="str">
        <f>CONCATENATE(SUMIF($F$6:$F104,$F104,$R$6:$R$370)," / ",SUMIF($F$6:$F$370,$F104,$R$6:$R$370))</f>
        <v>0 / 0</v>
      </c>
      <c r="U104" s="28" t="str">
        <f>CONCATENATE(SUM($R$6:$R104)," / ",SUM($R$6:$R$370))</f>
        <v>0 / 0</v>
      </c>
    </row>
    <row r="105" spans="2:21" ht="13" thickBot="1">
      <c r="B105" s="28"/>
      <c r="C105" s="237">
        <f t="shared" si="12"/>
        <v>42469</v>
      </c>
      <c r="D105" s="35" t="str">
        <f t="shared" si="16"/>
        <v>samedi</v>
      </c>
      <c r="E105" s="124">
        <f t="shared" si="9"/>
        <v>15</v>
      </c>
      <c r="F105" s="124">
        <f t="shared" si="10"/>
        <v>4</v>
      </c>
      <c r="G105" s="27"/>
      <c r="H105" s="28" t="str">
        <f>CONCATENATE(SUMIF($E$6:$E105,$E105,$K$6:$K$370)," / ",SUMIF($E$6:$E$370,$E105,$K$6:$K469))</f>
        <v>0 / 0</v>
      </c>
      <c r="I105" s="28" t="str">
        <f>CONCATENATE(SUMIF($F$6:$F105,$F105,$K$6:$K469)," / ",SUMIF($F$6:$F$370,$F105,$K$6:$K469))</f>
        <v>0 / 0</v>
      </c>
      <c r="J105" s="28" t="str">
        <f>CONCATENATE(SUM($K$6:$K105)," / ",SUM($K$6:$K$370))</f>
        <v>180,895 / 180,895</v>
      </c>
      <c r="K105" s="245">
        <v>0</v>
      </c>
      <c r="L105" s="28"/>
      <c r="M105" s="28" t="str">
        <f>CONCATENATE(SUMIF($E$6:$E105,$E105,$P$6:$P$370)," / ",SUMIF($E$6:$E$370,$E105,$P$6:$P$370))</f>
        <v>0 / 0</v>
      </c>
      <c r="N105" s="28" t="str">
        <f ca="1">CONCATENATE(SUMIF($F$6:$F105,$F105,$P105)," / ",SUMIF($F$6:$F$370,$F105,$P$6:$P$370))</f>
        <v>0 / 0</v>
      </c>
      <c r="O105" s="28" t="str">
        <f t="shared" si="11"/>
        <v>0 / 30</v>
      </c>
      <c r="P105" s="245">
        <v>0</v>
      </c>
      <c r="Q105" s="28"/>
      <c r="R105" s="246">
        <v>0</v>
      </c>
      <c r="S105" s="28" t="str">
        <f>CONCATENATE(SUMIF($E$6:$E105,E105,$R$6:$R$370)," / ",SUMIF($E$6:$E$370,E105,$R$6:$R$370))</f>
        <v>0 / 0</v>
      </c>
      <c r="T105" s="28" t="str">
        <f>CONCATENATE(SUMIF($F$6:$F105,$F105,$R$6:$R$370)," / ",SUMIF($F$6:$F$370,$F105,$R$6:$R$370))</f>
        <v>0 / 0</v>
      </c>
      <c r="U105" s="28" t="str">
        <f>CONCATENATE(SUM($R$6:$R105)," / ",SUM($R$6:$R$370))</f>
        <v>0 / 0</v>
      </c>
    </row>
    <row r="106" spans="2:21" ht="16" thickBot="1">
      <c r="B106" s="28"/>
      <c r="C106" s="268">
        <f t="shared" si="12"/>
        <v>42470</v>
      </c>
      <c r="D106" s="35" t="str">
        <f t="shared" si="16"/>
        <v>Dimanche</v>
      </c>
      <c r="E106" s="193">
        <f t="shared" si="9"/>
        <v>16</v>
      </c>
      <c r="F106" s="193">
        <f t="shared" si="10"/>
        <v>4</v>
      </c>
      <c r="G106" s="195" t="s">
        <v>678</v>
      </c>
      <c r="H106" s="28" t="str">
        <f>CONCATENATE(SUMIF($E$6:$E106,$E106,$K$6:$K$370)," / ",SUMIF($E$6:$E$370,$E106,$K$6:$K470))</f>
        <v>0 / 0</v>
      </c>
      <c r="I106" s="28" t="str">
        <f>CONCATENATE(SUMIF($F$6:$F106,$F106,$K$6:$K470)," / ",SUMIF($F$6:$F$370,$F106,$K$6:$K470))</f>
        <v>0 / 0</v>
      </c>
      <c r="J106" s="28" t="str">
        <f>CONCATENATE(SUM($K$6:$K106)," / ",SUM($K$6:$K$370))</f>
        <v>180,895 / 180,895</v>
      </c>
      <c r="K106" s="245">
        <v>0</v>
      </c>
      <c r="L106" s="28"/>
      <c r="M106" s="28" t="str">
        <f>CONCATENATE(SUMIF($E$6:$E106,$E106,$P$6:$P$370)," / ",SUMIF($E$6:$E$370,$E106,$P$6:$P$370))</f>
        <v>0 / 0</v>
      </c>
      <c r="N106" s="28" t="str">
        <f ca="1">CONCATENATE(SUMIF($F$6:$F106,$F106,$P106)," / ",SUMIF($F$6:$F$370,$F106,$P$6:$P$370))</f>
        <v>0 / 0</v>
      </c>
      <c r="O106" s="28" t="str">
        <f t="shared" si="11"/>
        <v>0 / 30</v>
      </c>
      <c r="P106" s="245">
        <v>0</v>
      </c>
      <c r="Q106" s="28"/>
      <c r="R106" s="246">
        <v>0</v>
      </c>
      <c r="S106" s="28" t="str">
        <f>CONCATENATE(SUMIF($E$6:$E106,E106,$R$6:$R$370)," / ",SUMIF($E$6:$E$370,E106,$R$6:$R$370))</f>
        <v>0 / 0</v>
      </c>
      <c r="T106" s="28" t="str">
        <f>CONCATENATE(SUMIF($F$6:$F106,$F106,$R$6:$R$370)," / ",SUMIF($F$6:$F$370,$F106,$R$6:$R$370))</f>
        <v>0 / 0</v>
      </c>
      <c r="U106" s="28" t="str">
        <f>CONCATENATE(SUM($R$6:$R106)," / ",SUM($R$6:$R$370))</f>
        <v>0 / 0</v>
      </c>
    </row>
    <row r="107" spans="2:21" ht="13" thickBot="1">
      <c r="B107" s="28"/>
      <c r="C107" s="237">
        <f t="shared" si="12"/>
        <v>42471</v>
      </c>
      <c r="D107" s="35" t="str">
        <f t="shared" si="16"/>
        <v>Lundi</v>
      </c>
      <c r="E107" s="124">
        <f t="shared" si="9"/>
        <v>16</v>
      </c>
      <c r="F107" s="124">
        <f t="shared" si="10"/>
        <v>4</v>
      </c>
      <c r="G107" s="27"/>
      <c r="H107" s="28" t="str">
        <f>CONCATENATE(SUMIF($E$6:$E107,$E107,$K$6:$K$370)," / ",SUMIF($E$6:$E$370,$E107,$K$6:$K471))</f>
        <v>0 / 0</v>
      </c>
      <c r="I107" s="28" t="str">
        <f>CONCATENATE(SUMIF($F$6:$F107,$F107,$K$6:$K471)," / ",SUMIF($F$6:$F$370,$F107,$K$6:$K471))</f>
        <v>0 / 0</v>
      </c>
      <c r="J107" s="28" t="str">
        <f>CONCATENATE(SUM($K$6:$K107)," / ",SUM($K$6:$K$370))</f>
        <v>180,895 / 180,895</v>
      </c>
      <c r="K107" s="245">
        <v>0</v>
      </c>
      <c r="L107" s="28"/>
      <c r="M107" s="28" t="str">
        <f>CONCATENATE(SUMIF($E$6:$E107,$E107,$P$6:$P$370)," / ",SUMIF($E$6:$E$370,$E107,$P$6:$P$370))</f>
        <v>0 / 0</v>
      </c>
      <c r="N107" s="28" t="str">
        <f ca="1">CONCATENATE(SUMIF($F$6:$F107,$F107,$P107)," / ",SUMIF($F$6:$F$370,$F107,$P$6:$P$370))</f>
        <v>0 / 0</v>
      </c>
      <c r="O107" s="28" t="str">
        <f t="shared" si="11"/>
        <v>0 / 30</v>
      </c>
      <c r="P107" s="245">
        <v>0</v>
      </c>
      <c r="Q107" s="28"/>
      <c r="R107" s="246">
        <v>0</v>
      </c>
      <c r="S107" s="28" t="str">
        <f>CONCATENATE(SUMIF($E$6:$E107,E107,$R$6:$R$370)," / ",SUMIF($E$6:$E$370,E107,$R$6:$R$370))</f>
        <v>0 / 0</v>
      </c>
      <c r="T107" s="28" t="str">
        <f>CONCATENATE(SUMIF($F$6:$F107,$F107,$R$6:$R$370)," / ",SUMIF($F$6:$F$370,$F107,$R$6:$R$370))</f>
        <v>0 / 0</v>
      </c>
      <c r="U107" s="28" t="str">
        <f>CONCATENATE(SUM($R$6:$R107)," / ",SUM($R$6:$R$370))</f>
        <v>0 / 0</v>
      </c>
    </row>
    <row r="108" spans="2:21" ht="13" thickBot="1">
      <c r="B108" s="28"/>
      <c r="C108" s="237">
        <f t="shared" si="12"/>
        <v>42472</v>
      </c>
      <c r="D108" s="35" t="str">
        <f t="shared" si="16"/>
        <v>Mardi</v>
      </c>
      <c r="E108" s="124">
        <f t="shared" si="9"/>
        <v>16</v>
      </c>
      <c r="F108" s="124">
        <f t="shared" si="10"/>
        <v>4</v>
      </c>
      <c r="G108" s="27"/>
      <c r="H108" s="28" t="str">
        <f>CONCATENATE(SUMIF($E$6:$E108,$E108,$K$6:$K$370)," / ",SUMIF($E$6:$E$370,$E108,$K$6:$K472))</f>
        <v>0 / 0</v>
      </c>
      <c r="I108" s="28" t="str">
        <f>CONCATENATE(SUMIF($F$6:$F108,$F108,$K$6:$K472)," / ",SUMIF($F$6:$F$370,$F108,$K$6:$K472))</f>
        <v>0 / 0</v>
      </c>
      <c r="J108" s="28" t="str">
        <f>CONCATENATE(SUM($K$6:$K108)," / ",SUM($K$6:$K$370))</f>
        <v>180,895 / 180,895</v>
      </c>
      <c r="K108" s="245">
        <v>0</v>
      </c>
      <c r="L108" s="28"/>
      <c r="M108" s="28" t="str">
        <f>CONCATENATE(SUMIF($E$6:$E108,$E108,$P$6:$P$370)," / ",SUMIF($E$6:$E$370,$E108,$P$6:$P$370))</f>
        <v>0 / 0</v>
      </c>
      <c r="N108" s="28" t="str">
        <f ca="1">CONCATENATE(SUMIF($F$6:$F108,$F108,$P108)," / ",SUMIF($F$6:$F$370,$F108,$P$6:$P$370))</f>
        <v>0 / 0</v>
      </c>
      <c r="O108" s="28" t="str">
        <f t="shared" si="11"/>
        <v>0 / 30</v>
      </c>
      <c r="P108" s="245">
        <v>0</v>
      </c>
      <c r="Q108" s="28"/>
      <c r="R108" s="246">
        <v>0</v>
      </c>
      <c r="S108" s="28" t="str">
        <f>CONCATENATE(SUMIF($E$6:$E108,E108,$R$6:$R$370)," / ",SUMIF($E$6:$E$370,E108,$R$6:$R$370))</f>
        <v>0 / 0</v>
      </c>
      <c r="T108" s="28" t="str">
        <f>CONCATENATE(SUMIF($F$6:$F108,$F108,$R$6:$R$370)," / ",SUMIF($F$6:$F$370,$F108,$R$6:$R$370))</f>
        <v>0 / 0</v>
      </c>
      <c r="U108" s="28" t="str">
        <f>CONCATENATE(SUM($R$6:$R108)," / ",SUM($R$6:$R$370))</f>
        <v>0 / 0</v>
      </c>
    </row>
    <row r="109" spans="2:21" ht="13" thickBot="1">
      <c r="B109" s="28"/>
      <c r="C109" s="237">
        <f t="shared" si="12"/>
        <v>42473</v>
      </c>
      <c r="D109" s="35" t="str">
        <f t="shared" si="16"/>
        <v>Mercredi</v>
      </c>
      <c r="E109" s="124">
        <f t="shared" si="9"/>
        <v>16</v>
      </c>
      <c r="F109" s="124">
        <f t="shared" si="10"/>
        <v>4</v>
      </c>
      <c r="G109" s="27"/>
      <c r="H109" s="28" t="str">
        <f>CONCATENATE(SUMIF($E$6:$E109,$E109,$K$6:$K$370)," / ",SUMIF($E$6:$E$370,$E109,$K$6:$K473))</f>
        <v>0 / 0</v>
      </c>
      <c r="I109" s="28" t="str">
        <f>CONCATENATE(SUMIF($F$6:$F109,$F109,$K$6:$K473)," / ",SUMIF($F$6:$F$370,$F109,$K$6:$K473))</f>
        <v>0 / 0</v>
      </c>
      <c r="J109" s="28" t="str">
        <f>CONCATENATE(SUM($K$6:$K109)," / ",SUM($K$6:$K$370))</f>
        <v>180,895 / 180,895</v>
      </c>
      <c r="K109" s="245">
        <v>0</v>
      </c>
      <c r="L109" s="28"/>
      <c r="M109" s="28" t="str">
        <f>CONCATENATE(SUMIF($E$6:$E109,$E109,$P$6:$P$370)," / ",SUMIF($E$6:$E$370,$E109,$P$6:$P$370))</f>
        <v>0 / 0</v>
      </c>
      <c r="N109" s="28" t="str">
        <f ca="1">CONCATENATE(SUMIF($F$6:$F109,$F109,$P109)," / ",SUMIF($F$6:$F$370,$F109,$P$6:$P$370))</f>
        <v>0 / 0</v>
      </c>
      <c r="O109" s="28" t="str">
        <f t="shared" si="11"/>
        <v>0 / 30</v>
      </c>
      <c r="P109" s="245">
        <v>0</v>
      </c>
      <c r="Q109" s="28"/>
      <c r="R109" s="246">
        <v>0</v>
      </c>
      <c r="S109" s="28" t="str">
        <f>CONCATENATE(SUMIF($E$6:$E109,E109,$R$6:$R$370)," / ",SUMIF($E$6:$E$370,E109,$R$6:$R$370))</f>
        <v>0 / 0</v>
      </c>
      <c r="T109" s="28" t="str">
        <f>CONCATENATE(SUMIF($F$6:$F109,$F109,$R$6:$R$370)," / ",SUMIF($F$6:$F$370,$F109,$R$6:$R$370))</f>
        <v>0 / 0</v>
      </c>
      <c r="U109" s="28" t="str">
        <f>CONCATENATE(SUM($R$6:$R109)," / ",SUM($R$6:$R$370))</f>
        <v>0 / 0</v>
      </c>
    </row>
    <row r="110" spans="2:21" ht="13" thickBot="1">
      <c r="B110" s="28"/>
      <c r="C110" s="237">
        <f t="shared" si="12"/>
        <v>42474</v>
      </c>
      <c r="D110" s="35" t="str">
        <f t="shared" si="16"/>
        <v>Jeudi</v>
      </c>
      <c r="E110" s="124">
        <f t="shared" si="9"/>
        <v>16</v>
      </c>
      <c r="F110" s="124">
        <f t="shared" si="10"/>
        <v>4</v>
      </c>
      <c r="G110" s="27"/>
      <c r="H110" s="28" t="str">
        <f>CONCATENATE(SUMIF($E$6:$E110,$E110,$K$6:$K$370)," / ",SUMIF($E$6:$E$370,$E110,$K$6:$K474))</f>
        <v>0 / 0</v>
      </c>
      <c r="I110" s="28" t="str">
        <f>CONCATENATE(SUMIF($F$6:$F110,$F110,$K$6:$K474)," / ",SUMIF($F$6:$F$370,$F110,$K$6:$K474))</f>
        <v>0 / 0</v>
      </c>
      <c r="J110" s="28" t="str">
        <f>CONCATENATE(SUM($K$6:$K110)," / ",SUM($K$6:$K$370))</f>
        <v>180,895 / 180,895</v>
      </c>
      <c r="K110" s="245">
        <v>0</v>
      </c>
      <c r="L110" s="28"/>
      <c r="M110" s="28" t="str">
        <f>CONCATENATE(SUMIF($E$6:$E110,$E110,$P$6:$P$370)," / ",SUMIF($E$6:$E$370,$E110,$P$6:$P$370))</f>
        <v>0 / 0</v>
      </c>
      <c r="N110" s="28" t="str">
        <f ca="1">CONCATENATE(SUMIF($F$6:$F110,$F110,$P110)," / ",SUMIF($F$6:$F$370,$F110,$P$6:$P$370))</f>
        <v>0 / 0</v>
      </c>
      <c r="O110" s="28" t="str">
        <f t="shared" si="11"/>
        <v>0 / 30</v>
      </c>
      <c r="P110" s="245">
        <v>0</v>
      </c>
      <c r="Q110" s="28"/>
      <c r="R110" s="246">
        <v>0</v>
      </c>
      <c r="S110" s="28" t="str">
        <f>CONCATENATE(SUMIF($E$6:$E110,E110,$R$6:$R$370)," / ",SUMIF($E$6:$E$370,E110,$R$6:$R$370))</f>
        <v>0 / 0</v>
      </c>
      <c r="T110" s="28" t="str">
        <f>CONCATENATE(SUMIF($F$6:$F110,$F110,$R$6:$R$370)," / ",SUMIF($F$6:$F$370,$F110,$R$6:$R$370))</f>
        <v>0 / 0</v>
      </c>
      <c r="U110" s="28" t="str">
        <f>CONCATENATE(SUM($R$6:$R110)," / ",SUM($R$6:$R$370))</f>
        <v>0 / 0</v>
      </c>
    </row>
    <row r="111" spans="2:21" ht="13" thickBot="1">
      <c r="B111" s="28"/>
      <c r="C111" s="237">
        <f t="shared" si="12"/>
        <v>42475</v>
      </c>
      <c r="D111" s="35" t="str">
        <f t="shared" si="16"/>
        <v>Vendredi</v>
      </c>
      <c r="E111" s="124">
        <f t="shared" si="9"/>
        <v>16</v>
      </c>
      <c r="F111" s="124">
        <f t="shared" si="10"/>
        <v>4</v>
      </c>
      <c r="G111" s="27"/>
      <c r="H111" s="28" t="str">
        <f>CONCATENATE(SUMIF($E$6:$E111,$E111,$K$6:$K$370)," / ",SUMIF($E$6:$E$370,$E111,$K$6:$K475))</f>
        <v>0 / 0</v>
      </c>
      <c r="I111" s="28" t="str">
        <f>CONCATENATE(SUMIF($F$6:$F111,$F111,$K$6:$K475)," / ",SUMIF($F$6:$F$370,$F111,$K$6:$K475))</f>
        <v>0 / 0</v>
      </c>
      <c r="J111" s="28" t="str">
        <f>CONCATENATE(SUM($K$6:$K111)," / ",SUM($K$6:$K$370))</f>
        <v>180,895 / 180,895</v>
      </c>
      <c r="K111" s="245">
        <v>0</v>
      </c>
      <c r="L111" s="28"/>
      <c r="M111" s="28" t="str">
        <f>CONCATENATE(SUMIF($E$6:$E111,$E111,$P$6:$P$370)," / ",SUMIF($E$6:$E$370,$E111,$P$6:$P$370))</f>
        <v>0 / 0</v>
      </c>
      <c r="N111" s="28" t="str">
        <f ca="1">CONCATENATE(SUMIF($F$6:$F111,$F111,$P111)," / ",SUMIF($F$6:$F$370,$F111,$P$6:$P$370))</f>
        <v>0 / 0</v>
      </c>
      <c r="O111" s="28" t="str">
        <f t="shared" si="11"/>
        <v>0 / 30</v>
      </c>
      <c r="P111" s="245">
        <v>0</v>
      </c>
      <c r="Q111" s="28"/>
      <c r="R111" s="246">
        <v>0</v>
      </c>
      <c r="S111" s="28" t="str">
        <f>CONCATENATE(SUMIF($E$6:$E111,E111,$R$6:$R$370)," / ",SUMIF($E$6:$E$370,E111,$R$6:$R$370))</f>
        <v>0 / 0</v>
      </c>
      <c r="T111" s="28" t="str">
        <f>CONCATENATE(SUMIF($F$6:$F111,$F111,$R$6:$R$370)," / ",SUMIF($F$6:$F$370,$F111,$R$6:$R$370))</f>
        <v>0 / 0</v>
      </c>
      <c r="U111" s="28" t="str">
        <f>CONCATENATE(SUM($R$6:$R111)," / ",SUM($R$6:$R$370))</f>
        <v>0 / 0</v>
      </c>
    </row>
    <row r="112" spans="2:21" ht="13" thickBot="1">
      <c r="B112" s="28"/>
      <c r="C112" s="237">
        <f t="shared" si="12"/>
        <v>42476</v>
      </c>
      <c r="D112" s="35" t="str">
        <f t="shared" si="16"/>
        <v>samedi</v>
      </c>
      <c r="E112" s="124">
        <f t="shared" si="9"/>
        <v>16</v>
      </c>
      <c r="F112" s="124">
        <f t="shared" si="10"/>
        <v>4</v>
      </c>
      <c r="G112" s="27"/>
      <c r="H112" s="28" t="str">
        <f>CONCATENATE(SUMIF($E$6:$E112,$E112,$K$6:$K$370)," / ",SUMIF($E$6:$E$370,$E112,$K$6:$K476))</f>
        <v>0 / 0</v>
      </c>
      <c r="I112" s="28" t="str">
        <f>CONCATENATE(SUMIF($F$6:$F112,$F112,$K$6:$K476)," / ",SUMIF($F$6:$F$370,$F112,$K$6:$K476))</f>
        <v>0 / 0</v>
      </c>
      <c r="J112" s="28" t="str">
        <f>CONCATENATE(SUM($K$6:$K112)," / ",SUM($K$6:$K$370))</f>
        <v>180,895 / 180,895</v>
      </c>
      <c r="K112" s="245">
        <v>0</v>
      </c>
      <c r="L112" s="28"/>
      <c r="M112" s="28" t="str">
        <f>CONCATENATE(SUMIF($E$6:$E112,$E112,$P$6:$P$370)," / ",SUMIF($E$6:$E$370,$E112,$P$6:$P$370))</f>
        <v>0 / 0</v>
      </c>
      <c r="N112" s="28" t="str">
        <f ca="1">CONCATENATE(SUMIF($F$6:$F112,$F112,$P112)," / ",SUMIF($F$6:$F$370,$F112,$P$6:$P$370))</f>
        <v>0 / 0</v>
      </c>
      <c r="O112" s="28" t="str">
        <f t="shared" si="11"/>
        <v>0 / 30</v>
      </c>
      <c r="P112" s="245">
        <v>0</v>
      </c>
      <c r="Q112" s="28"/>
      <c r="R112" s="246">
        <v>0</v>
      </c>
      <c r="S112" s="28" t="str">
        <f>CONCATENATE(SUMIF($E$6:$E112,E112,$R$6:$R$370)," / ",SUMIF($E$6:$E$370,E112,$R$6:$R$370))</f>
        <v>0 / 0</v>
      </c>
      <c r="T112" s="28" t="str">
        <f>CONCATENATE(SUMIF($F$6:$F112,$F112,$R$6:$R$370)," / ",SUMIF($F$6:$F$370,$F112,$R$6:$R$370))</f>
        <v>0 / 0</v>
      </c>
      <c r="U112" s="28" t="str">
        <f>CONCATENATE(SUM($R$6:$R112)," / ",SUM($R$6:$R$370))</f>
        <v>0 / 0</v>
      </c>
    </row>
    <row r="113" spans="2:21" ht="13" thickBot="1">
      <c r="B113" s="28"/>
      <c r="C113" s="237">
        <f t="shared" si="12"/>
        <v>42477</v>
      </c>
      <c r="D113" s="35" t="str">
        <f t="shared" si="16"/>
        <v>Dimanche</v>
      </c>
      <c r="E113" s="124">
        <f t="shared" si="9"/>
        <v>17</v>
      </c>
      <c r="F113" s="124">
        <f t="shared" si="10"/>
        <v>4</v>
      </c>
      <c r="G113" s="27"/>
      <c r="H113" s="28" t="str">
        <f>CONCATENATE(SUMIF($E$6:$E113,$E113,$K$6:$K$370)," / ",SUMIF($E$6:$E$370,$E113,$K$6:$K477))</f>
        <v>0 / 0</v>
      </c>
      <c r="I113" s="28" t="str">
        <f>CONCATENATE(SUMIF($F$6:$F113,$F113,$K$6:$K477)," / ",SUMIF($F$6:$F$370,$F113,$K$6:$K477))</f>
        <v>0 / 0</v>
      </c>
      <c r="J113" s="28" t="str">
        <f>CONCATENATE(SUM($K$6:$K113)," / ",SUM($K$6:$K$370))</f>
        <v>180,895 / 180,895</v>
      </c>
      <c r="K113" s="245">
        <v>0</v>
      </c>
      <c r="L113" s="28"/>
      <c r="M113" s="28" t="str">
        <f>CONCATENATE(SUMIF($E$6:$E113,$E113,$P$6:$P$370)," / ",SUMIF($E$6:$E$370,$E113,$P$6:$P$370))</f>
        <v>0 / 0</v>
      </c>
      <c r="N113" s="28" t="str">
        <f ca="1">CONCATENATE(SUMIF($F$6:$F113,$F113,$P113)," / ",SUMIF($F$6:$F$370,$F113,$P$6:$P$370))</f>
        <v>0 / 0</v>
      </c>
      <c r="O113" s="28" t="str">
        <f t="shared" si="11"/>
        <v>0 / 30</v>
      </c>
      <c r="P113" s="245">
        <v>0</v>
      </c>
      <c r="Q113" s="28"/>
      <c r="R113" s="246">
        <v>0</v>
      </c>
      <c r="S113" s="28" t="str">
        <f>CONCATENATE(SUMIF($E$6:$E113,E113,$R$6:$R$370)," / ",SUMIF($E$6:$E$370,E113,$R$6:$R$370))</f>
        <v>0 / 0</v>
      </c>
      <c r="T113" s="28" t="str">
        <f>CONCATENATE(SUMIF($F$6:$F113,$F113,$R$6:$R$370)," / ",SUMIF($F$6:$F$370,$F113,$R$6:$R$370))</f>
        <v>0 / 0</v>
      </c>
      <c r="U113" s="28" t="str">
        <f>CONCATENATE(SUM($R$6:$R113)," / ",SUM($R$6:$R$370))</f>
        <v>0 / 0</v>
      </c>
    </row>
    <row r="114" spans="2:21" ht="13" thickBot="1">
      <c r="B114" s="28"/>
      <c r="C114" s="237">
        <f t="shared" si="12"/>
        <v>42478</v>
      </c>
      <c r="D114" s="35" t="str">
        <f t="shared" si="16"/>
        <v>Lundi</v>
      </c>
      <c r="E114" s="124">
        <f t="shared" si="9"/>
        <v>17</v>
      </c>
      <c r="F114" s="124">
        <f t="shared" si="10"/>
        <v>4</v>
      </c>
      <c r="G114" s="27"/>
      <c r="H114" s="28" t="str">
        <f>CONCATENATE(SUMIF($E$6:$E114,$E114,$K$6:$K$370)," / ",SUMIF($E$6:$E$370,$E114,$K$6:$K478))</f>
        <v>0 / 0</v>
      </c>
      <c r="I114" s="28" t="str">
        <f>CONCATENATE(SUMIF($F$6:$F114,$F114,$K$6:$K478)," / ",SUMIF($F$6:$F$370,$F114,$K$6:$K478))</f>
        <v>0 / 0</v>
      </c>
      <c r="J114" s="28" t="str">
        <f>CONCATENATE(SUM($K$6:$K114)," / ",SUM($K$6:$K$370))</f>
        <v>180,895 / 180,895</v>
      </c>
      <c r="K114" s="245">
        <v>0</v>
      </c>
      <c r="L114" s="28"/>
      <c r="M114" s="28" t="str">
        <f>CONCATENATE(SUMIF($E$6:$E114,$E114,$P$6:$P$370)," / ",SUMIF($E$6:$E$370,$E114,$P$6:$P$370))</f>
        <v>0 / 0</v>
      </c>
      <c r="N114" s="28" t="str">
        <f ca="1">CONCATENATE(SUMIF($F$6:$F114,$F114,$P114)," / ",SUMIF($F$6:$F$370,$F114,$P$6:$P$370))</f>
        <v>0 / 0</v>
      </c>
      <c r="O114" s="28" t="str">
        <f t="shared" si="11"/>
        <v>0 / 30</v>
      </c>
      <c r="P114" s="245">
        <v>0</v>
      </c>
      <c r="Q114" s="28"/>
      <c r="R114" s="246">
        <v>0</v>
      </c>
      <c r="S114" s="28" t="str">
        <f>CONCATENATE(SUMIF($E$6:$E114,E114,$R$6:$R$370)," / ",SUMIF($E$6:$E$370,E114,$R$6:$R$370))</f>
        <v>0 / 0</v>
      </c>
      <c r="T114" s="28" t="str">
        <f>CONCATENATE(SUMIF($F$6:$F114,$F114,$R$6:$R$370)," / ",SUMIF($F$6:$F$370,$F114,$R$6:$R$370))</f>
        <v>0 / 0</v>
      </c>
      <c r="U114" s="28" t="str">
        <f>CONCATENATE(SUM($R$6:$R114)," / ",SUM($R$6:$R$370))</f>
        <v>0 / 0</v>
      </c>
    </row>
    <row r="115" spans="2:21" ht="13" thickBot="1">
      <c r="B115" s="28"/>
      <c r="C115" s="237">
        <f t="shared" si="12"/>
        <v>42479</v>
      </c>
      <c r="D115" s="35" t="str">
        <f t="shared" si="16"/>
        <v>Mardi</v>
      </c>
      <c r="E115" s="124">
        <f t="shared" si="9"/>
        <v>17</v>
      </c>
      <c r="F115" s="124">
        <f t="shared" si="10"/>
        <v>4</v>
      </c>
      <c r="G115" s="27"/>
      <c r="H115" s="28" t="str">
        <f>CONCATENATE(SUMIF($E$6:$E115,$E115,$K$6:$K$370)," / ",SUMIF($E$6:$E$370,$E115,$K$6:$K479))</f>
        <v>0 / 0</v>
      </c>
      <c r="I115" s="28" t="str">
        <f>CONCATENATE(SUMIF($F$6:$F115,$F115,$K$6:$K479)," / ",SUMIF($F$6:$F$370,$F115,$K$6:$K479))</f>
        <v>0 / 0</v>
      </c>
      <c r="J115" s="28" t="str">
        <f>CONCATENATE(SUM($K$6:$K115)," / ",SUM($K$6:$K$370))</f>
        <v>180,895 / 180,895</v>
      </c>
      <c r="K115" s="245">
        <v>0</v>
      </c>
      <c r="L115" s="28"/>
      <c r="M115" s="28" t="str">
        <f>CONCATENATE(SUMIF($E$6:$E115,$E115,$P$6:$P$370)," / ",SUMIF($E$6:$E$370,$E115,$P$6:$P$370))</f>
        <v>0 / 0</v>
      </c>
      <c r="N115" s="28" t="str">
        <f ca="1">CONCATENATE(SUMIF($F$6:$F115,$F115,$P115)," / ",SUMIF($F$6:$F$370,$F115,$P$6:$P$370))</f>
        <v>0 / 0</v>
      </c>
      <c r="O115" s="28" t="str">
        <f t="shared" si="11"/>
        <v>0 / 30</v>
      </c>
      <c r="P115" s="245">
        <v>0</v>
      </c>
      <c r="Q115" s="28"/>
      <c r="R115" s="246">
        <v>0</v>
      </c>
      <c r="S115" s="28" t="str">
        <f>CONCATENATE(SUMIF($E$6:$E115,E115,$R$6:$R$370)," / ",SUMIF($E$6:$E$370,E115,$R$6:$R$370))</f>
        <v>0 / 0</v>
      </c>
      <c r="T115" s="28" t="str">
        <f>CONCATENATE(SUMIF($F$6:$F115,$F115,$R$6:$R$370)," / ",SUMIF($F$6:$F$370,$F115,$R$6:$R$370))</f>
        <v>0 / 0</v>
      </c>
      <c r="U115" s="28" t="str">
        <f>CONCATENATE(SUM($R$6:$R115)," / ",SUM($R$6:$R$370))</f>
        <v>0 / 0</v>
      </c>
    </row>
    <row r="116" spans="2:21" ht="13" thickBot="1">
      <c r="B116" s="28"/>
      <c r="C116" s="237">
        <f t="shared" si="12"/>
        <v>42480</v>
      </c>
      <c r="D116" s="35" t="str">
        <f t="shared" si="16"/>
        <v>Mercredi</v>
      </c>
      <c r="E116" s="124">
        <f t="shared" si="9"/>
        <v>17</v>
      </c>
      <c r="F116" s="124">
        <f t="shared" si="10"/>
        <v>4</v>
      </c>
      <c r="G116" s="27"/>
      <c r="H116" s="28" t="str">
        <f>CONCATENATE(SUMIF($E$6:$E116,$E116,$K$6:$K$370)," / ",SUMIF($E$6:$E$370,$E116,$K$6:$K480))</f>
        <v>0 / 0</v>
      </c>
      <c r="I116" s="28" t="str">
        <f>CONCATENATE(SUMIF($F$6:$F116,$F116,$K$6:$K480)," / ",SUMIF($F$6:$F$370,$F116,$K$6:$K480))</f>
        <v>0 / 0</v>
      </c>
      <c r="J116" s="28" t="str">
        <f>CONCATENATE(SUM($K$6:$K116)," / ",SUM($K$6:$K$370))</f>
        <v>180,895 / 180,895</v>
      </c>
      <c r="K116" s="245">
        <v>0</v>
      </c>
      <c r="L116" s="28"/>
      <c r="M116" s="28" t="str">
        <f>CONCATENATE(SUMIF($E$6:$E116,$E116,$P$6:$P$370)," / ",SUMIF($E$6:$E$370,$E116,$P$6:$P$370))</f>
        <v>0 / 0</v>
      </c>
      <c r="N116" s="28" t="str">
        <f ca="1">CONCATENATE(SUMIF($F$6:$F116,$F116,$P116)," / ",SUMIF($F$6:$F$370,$F116,$P$6:$P$370))</f>
        <v>0 / 0</v>
      </c>
      <c r="O116" s="28" t="str">
        <f t="shared" si="11"/>
        <v>0 / 30</v>
      </c>
      <c r="P116" s="245">
        <v>0</v>
      </c>
      <c r="Q116" s="28"/>
      <c r="R116" s="246">
        <v>0</v>
      </c>
      <c r="S116" s="28" t="str">
        <f>CONCATENATE(SUMIF($E$6:$E116,E116,$R$6:$R$370)," / ",SUMIF($E$6:$E$370,E116,$R$6:$R$370))</f>
        <v>0 / 0</v>
      </c>
      <c r="T116" s="28" t="str">
        <f>CONCATENATE(SUMIF($F$6:$F116,$F116,$R$6:$R$370)," / ",SUMIF($F$6:$F$370,$F116,$R$6:$R$370))</f>
        <v>0 / 0</v>
      </c>
      <c r="U116" s="28" t="str">
        <f>CONCATENATE(SUM($R$6:$R116)," / ",SUM($R$6:$R$370))</f>
        <v>0 / 0</v>
      </c>
    </row>
    <row r="117" spans="2:21" ht="13" thickBot="1">
      <c r="B117" s="28"/>
      <c r="C117" s="237">
        <f t="shared" si="12"/>
        <v>42481</v>
      </c>
      <c r="D117" s="35" t="str">
        <f t="shared" si="16"/>
        <v>Jeudi</v>
      </c>
      <c r="E117" s="124">
        <f t="shared" si="9"/>
        <v>17</v>
      </c>
      <c r="F117" s="124">
        <f t="shared" si="10"/>
        <v>4</v>
      </c>
      <c r="G117" s="27"/>
      <c r="H117" s="28" t="str">
        <f>CONCATENATE(SUMIF($E$6:$E117,$E117,$K$6:$K$370)," / ",SUMIF($E$6:$E$370,$E117,$K$6:$K481))</f>
        <v>0 / 0</v>
      </c>
      <c r="I117" s="28" t="str">
        <f>CONCATENATE(SUMIF($F$6:$F117,$F117,$K$6:$K481)," / ",SUMIF($F$6:$F$370,$F117,$K$6:$K481))</f>
        <v>0 / 0</v>
      </c>
      <c r="J117" s="28" t="str">
        <f>CONCATENATE(SUM($K$6:$K117)," / ",SUM($K$6:$K$370))</f>
        <v>180,895 / 180,895</v>
      </c>
      <c r="K117" s="245">
        <v>0</v>
      </c>
      <c r="L117" s="28"/>
      <c r="M117" s="28" t="str">
        <f>CONCATENATE(SUMIF($E$6:$E117,$E117,$P$6:$P$370)," / ",SUMIF($E$6:$E$370,$E117,$P$6:$P$370))</f>
        <v>0 / 0</v>
      </c>
      <c r="N117" s="28" t="str">
        <f ca="1">CONCATENATE(SUMIF($F$6:$F117,$F117,$P117)," / ",SUMIF($F$6:$F$370,$F117,$P$6:$P$370))</f>
        <v>0 / 0</v>
      </c>
      <c r="O117" s="28" t="str">
        <f t="shared" si="11"/>
        <v>0 / 30</v>
      </c>
      <c r="P117" s="245">
        <v>0</v>
      </c>
      <c r="Q117" s="28"/>
      <c r="R117" s="246">
        <v>0</v>
      </c>
      <c r="S117" s="28" t="str">
        <f>CONCATENATE(SUMIF($E$6:$E117,E117,$R$6:$R$370)," / ",SUMIF($E$6:$E$370,E117,$R$6:$R$370))</f>
        <v>0 / 0</v>
      </c>
      <c r="T117" s="28" t="str">
        <f>CONCATENATE(SUMIF($F$6:$F117,$F117,$R$6:$R$370)," / ",SUMIF($F$6:$F$370,$F117,$R$6:$R$370))</f>
        <v>0 / 0</v>
      </c>
      <c r="U117" s="28" t="str">
        <f>CONCATENATE(SUM($R$6:$R117)," / ",SUM($R$6:$R$370))</f>
        <v>0 / 0</v>
      </c>
    </row>
    <row r="118" spans="2:21" ht="13" thickBot="1">
      <c r="B118" s="28"/>
      <c r="C118" s="237">
        <f t="shared" si="12"/>
        <v>42482</v>
      </c>
      <c r="D118" s="35" t="str">
        <f t="shared" si="16"/>
        <v>Vendredi</v>
      </c>
      <c r="E118" s="124">
        <f t="shared" si="9"/>
        <v>17</v>
      </c>
      <c r="F118" s="124">
        <f t="shared" si="10"/>
        <v>4</v>
      </c>
      <c r="G118" s="27"/>
      <c r="H118" s="28" t="str">
        <f>CONCATENATE(SUMIF($E$6:$E118,$E118,$K$6:$K$370)," / ",SUMIF($E$6:$E$370,$E118,$K$6:$K482))</f>
        <v>0 / 0</v>
      </c>
      <c r="I118" s="28" t="str">
        <f>CONCATENATE(SUMIF($F$6:$F118,$F118,$K$6:$K482)," / ",SUMIF($F$6:$F$370,$F118,$K$6:$K482))</f>
        <v>0 / 0</v>
      </c>
      <c r="J118" s="28" t="str">
        <f>CONCATENATE(SUM($K$6:$K118)," / ",SUM($K$6:$K$370))</f>
        <v>180,895 / 180,895</v>
      </c>
      <c r="K118" s="245">
        <v>0</v>
      </c>
      <c r="L118" s="28"/>
      <c r="M118" s="28" t="str">
        <f>CONCATENATE(SUMIF($E$6:$E118,$E118,$P$6:$P$370)," / ",SUMIF($E$6:$E$370,$E118,$P$6:$P$370))</f>
        <v>0 / 0</v>
      </c>
      <c r="N118" s="28" t="str">
        <f ca="1">CONCATENATE(SUMIF($F$6:$F118,$F118,$P118)," / ",SUMIF($F$6:$F$370,$F118,$P$6:$P$370))</f>
        <v>0 / 0</v>
      </c>
      <c r="O118" s="28" t="str">
        <f t="shared" si="11"/>
        <v>0 / 30</v>
      </c>
      <c r="P118" s="245">
        <v>0</v>
      </c>
      <c r="Q118" s="28"/>
      <c r="R118" s="246">
        <v>0</v>
      </c>
      <c r="S118" s="28" t="str">
        <f>CONCATENATE(SUMIF($E$6:$E118,E118,$R$6:$R$370)," / ",SUMIF($E$6:$E$370,E118,$R$6:$R$370))</f>
        <v>0 / 0</v>
      </c>
      <c r="T118" s="28" t="str">
        <f>CONCATENATE(SUMIF($F$6:$F118,$F118,$R$6:$R$370)," / ",SUMIF($F$6:$F$370,$F118,$R$6:$R$370))</f>
        <v>0 / 0</v>
      </c>
      <c r="U118" s="28" t="str">
        <f>CONCATENATE(SUM($R$6:$R118)," / ",SUM($R$6:$R$370))</f>
        <v>0 / 0</v>
      </c>
    </row>
    <row r="119" spans="2:21" ht="13" thickBot="1">
      <c r="B119" s="28"/>
      <c r="C119" s="237">
        <f t="shared" si="12"/>
        <v>42483</v>
      </c>
      <c r="D119" s="35" t="str">
        <f t="shared" si="16"/>
        <v>samedi</v>
      </c>
      <c r="E119" s="124">
        <f t="shared" si="9"/>
        <v>17</v>
      </c>
      <c r="F119" s="124">
        <f t="shared" si="10"/>
        <v>4</v>
      </c>
      <c r="G119" s="27"/>
      <c r="H119" s="28" t="str">
        <f>CONCATENATE(SUMIF($E$6:$E119,$E119,$K$6:$K$370)," / ",SUMIF($E$6:$E$370,$E119,$K$6:$K483))</f>
        <v>0 / 0</v>
      </c>
      <c r="I119" s="28" t="str">
        <f>CONCATENATE(SUMIF($F$6:$F119,$F119,$K$6:$K483)," / ",SUMIF($F$6:$F$370,$F119,$K$6:$K483))</f>
        <v>0 / 0</v>
      </c>
      <c r="J119" s="28" t="str">
        <f>CONCATENATE(SUM($K$6:$K119)," / ",SUM($K$6:$K$370))</f>
        <v>180,895 / 180,895</v>
      </c>
      <c r="K119" s="245">
        <v>0</v>
      </c>
      <c r="L119" s="28"/>
      <c r="M119" s="28" t="str">
        <f>CONCATENATE(SUMIF($E$6:$E119,$E119,$P$6:$P$370)," / ",SUMIF($E$6:$E$370,$E119,$P$6:$P$370))</f>
        <v>0 / 0</v>
      </c>
      <c r="N119" s="28" t="str">
        <f ca="1">CONCATENATE(SUMIF($F$6:$F119,$F119,$P119)," / ",SUMIF($F$6:$F$370,$F119,$P$6:$P$370))</f>
        <v>0 / 0</v>
      </c>
      <c r="O119" s="28" t="str">
        <f t="shared" si="11"/>
        <v>0 / 30</v>
      </c>
      <c r="P119" s="245">
        <v>0</v>
      </c>
      <c r="Q119" s="28"/>
      <c r="R119" s="246">
        <v>0</v>
      </c>
      <c r="S119" s="28" t="str">
        <f>CONCATENATE(SUMIF($E$6:$E119,E119,$R$6:$R$370)," / ",SUMIF($E$6:$E$370,E119,$R$6:$R$370))</f>
        <v>0 / 0</v>
      </c>
      <c r="T119" s="28" t="str">
        <f>CONCATENATE(SUMIF($F$6:$F119,$F119,$R$6:$R$370)," / ",SUMIF($F$6:$F$370,$F119,$R$6:$R$370))</f>
        <v>0 / 0</v>
      </c>
      <c r="U119" s="28" t="str">
        <f>CONCATENATE(SUM($R$6:$R119)," / ",SUM($R$6:$R$370))</f>
        <v>0 / 0</v>
      </c>
    </row>
    <row r="120" spans="2:21" ht="13" thickBot="1">
      <c r="B120" s="28"/>
      <c r="C120" s="237">
        <f t="shared" si="12"/>
        <v>42484</v>
      </c>
      <c r="D120" s="35" t="str">
        <f t="shared" si="16"/>
        <v>Dimanche</v>
      </c>
      <c r="E120" s="124">
        <f t="shared" si="9"/>
        <v>18</v>
      </c>
      <c r="F120" s="124">
        <f t="shared" si="10"/>
        <v>4</v>
      </c>
      <c r="G120" s="27"/>
      <c r="H120" s="28" t="str">
        <f>CONCATENATE(SUMIF($E$6:$E120,$E120,$K$6:$K$370)," / ",SUMIF($E$6:$E$370,$E120,$K$6:$K484))</f>
        <v>0 / 0</v>
      </c>
      <c r="I120" s="28" t="str">
        <f>CONCATENATE(SUMIF($F$6:$F120,$F120,$K$6:$K484)," / ",SUMIF($F$6:$F$370,$F120,$K$6:$K484))</f>
        <v>0 / 0</v>
      </c>
      <c r="J120" s="28" t="str">
        <f>CONCATENATE(SUM($K$6:$K120)," / ",SUM($K$6:$K$370))</f>
        <v>180,895 / 180,895</v>
      </c>
      <c r="K120" s="245">
        <v>0</v>
      </c>
      <c r="L120" s="28"/>
      <c r="M120" s="28" t="str">
        <f>CONCATENATE(SUMIF($E$6:$E120,$E120,$P$6:$P$370)," / ",SUMIF($E$6:$E$370,$E120,$P$6:$P$370))</f>
        <v>0 / 0</v>
      </c>
      <c r="N120" s="28" t="str">
        <f ca="1">CONCATENATE(SUMIF($F$6:$F120,$F120,$P120)," / ",SUMIF($F$6:$F$370,$F120,$P$6:$P$370))</f>
        <v>0 / 0</v>
      </c>
      <c r="O120" s="28" t="str">
        <f t="shared" si="11"/>
        <v>0 / 30</v>
      </c>
      <c r="P120" s="245">
        <v>0</v>
      </c>
      <c r="Q120" s="28"/>
      <c r="R120" s="246">
        <v>0</v>
      </c>
      <c r="S120" s="28" t="str">
        <f>CONCATENATE(SUMIF($E$6:$E120,E120,$R$6:$R$370)," / ",SUMIF($E$6:$E$370,E120,$R$6:$R$370))</f>
        <v>0 / 0</v>
      </c>
      <c r="T120" s="28" t="str">
        <f>CONCATENATE(SUMIF($F$6:$F120,$F120,$R$6:$R$370)," / ",SUMIF($F$6:$F$370,$F120,$R$6:$R$370))</f>
        <v>0 / 0</v>
      </c>
      <c r="U120" s="28" t="str">
        <f>CONCATENATE(SUM($R$6:$R120)," / ",SUM($R$6:$R$370))</f>
        <v>0 / 0</v>
      </c>
    </row>
    <row r="121" spans="2:21" ht="13" thickBot="1">
      <c r="B121" s="28"/>
      <c r="C121" s="237">
        <f t="shared" si="12"/>
        <v>42485</v>
      </c>
      <c r="D121" s="35" t="str">
        <f t="shared" si="16"/>
        <v>Lundi</v>
      </c>
      <c r="E121" s="124">
        <f t="shared" si="9"/>
        <v>18</v>
      </c>
      <c r="F121" s="124">
        <f t="shared" si="10"/>
        <v>4</v>
      </c>
      <c r="G121" s="27"/>
      <c r="H121" s="28" t="str">
        <f>CONCATENATE(SUMIF($E$6:$E121,$E121,$K$6:$K$370)," / ",SUMIF($E$6:$E$370,$E121,$K$6:$K485))</f>
        <v>0 / 0</v>
      </c>
      <c r="I121" s="28" t="str">
        <f>CONCATENATE(SUMIF($F$6:$F121,$F121,$K$6:$K485)," / ",SUMIF($F$6:$F$370,$F121,$K$6:$K485))</f>
        <v>0 / 0</v>
      </c>
      <c r="J121" s="28" t="str">
        <f>CONCATENATE(SUM($K$6:$K121)," / ",SUM($K$6:$K$370))</f>
        <v>180,895 / 180,895</v>
      </c>
      <c r="K121" s="245">
        <v>0</v>
      </c>
      <c r="L121" s="28"/>
      <c r="M121" s="28" t="str">
        <f>CONCATENATE(SUMIF($E$6:$E121,$E121,$P$6:$P$370)," / ",SUMIF($E$6:$E$370,$E121,$P$6:$P$370))</f>
        <v>0 / 0</v>
      </c>
      <c r="N121" s="28" t="str">
        <f ca="1">CONCATENATE(SUMIF($F$6:$F121,$F121,$P121)," / ",SUMIF($F$6:$F$370,$F121,$P$6:$P$370))</f>
        <v>0 / 0</v>
      </c>
      <c r="O121" s="28" t="str">
        <f t="shared" si="11"/>
        <v>0 / 30</v>
      </c>
      <c r="P121" s="245">
        <v>0</v>
      </c>
      <c r="Q121" s="28"/>
      <c r="R121" s="246">
        <v>0</v>
      </c>
      <c r="S121" s="28" t="str">
        <f>CONCATENATE(SUMIF($E$6:$E121,E121,$R$6:$R$370)," / ",SUMIF($E$6:$E$370,E121,$R$6:$R$370))</f>
        <v>0 / 0</v>
      </c>
      <c r="T121" s="28" t="str">
        <f>CONCATENATE(SUMIF($F$6:$F121,$F121,$R$6:$R$370)," / ",SUMIF($F$6:$F$370,$F121,$R$6:$R$370))</f>
        <v>0 / 0</v>
      </c>
      <c r="U121" s="28" t="str">
        <f>CONCATENATE(SUM($R$6:$R121)," / ",SUM($R$6:$R$370))</f>
        <v>0 / 0</v>
      </c>
    </row>
    <row r="122" spans="2:21" ht="13" thickBot="1">
      <c r="B122" s="28"/>
      <c r="C122" s="237">
        <f t="shared" si="12"/>
        <v>42486</v>
      </c>
      <c r="D122" s="35" t="str">
        <f t="shared" si="16"/>
        <v>Mardi</v>
      </c>
      <c r="E122" s="124">
        <f t="shared" si="9"/>
        <v>18</v>
      </c>
      <c r="F122" s="124">
        <f t="shared" si="10"/>
        <v>4</v>
      </c>
      <c r="G122" s="27"/>
      <c r="H122" s="28" t="str">
        <f>CONCATENATE(SUMIF($E$6:$E122,$E122,$K$6:$K$370)," / ",SUMIF($E$6:$E$370,$E122,$K$6:$K486))</f>
        <v>0 / 0</v>
      </c>
      <c r="I122" s="28" t="str">
        <f>CONCATENATE(SUMIF($F$6:$F122,$F122,$K$6:$K486)," / ",SUMIF($F$6:$F$370,$F122,$K$6:$K486))</f>
        <v>0 / 0</v>
      </c>
      <c r="J122" s="28" t="str">
        <f>CONCATENATE(SUM($K$6:$K122)," / ",SUM($K$6:$K$370))</f>
        <v>180,895 / 180,895</v>
      </c>
      <c r="K122" s="245">
        <v>0</v>
      </c>
      <c r="L122" s="28"/>
      <c r="M122" s="28" t="str">
        <f>CONCATENATE(SUMIF($E$6:$E122,$E122,$P$6:$P$370)," / ",SUMIF($E$6:$E$370,$E122,$P$6:$P$370))</f>
        <v>0 / 0</v>
      </c>
      <c r="N122" s="28" t="str">
        <f ca="1">CONCATENATE(SUMIF($F$6:$F122,$F122,$P122)," / ",SUMIF($F$6:$F$370,$F122,$P$6:$P$370))</f>
        <v>0 / 0</v>
      </c>
      <c r="O122" s="28" t="str">
        <f t="shared" si="11"/>
        <v>0 / 30</v>
      </c>
      <c r="P122" s="245">
        <v>0</v>
      </c>
      <c r="Q122" s="28"/>
      <c r="R122" s="246">
        <v>0</v>
      </c>
      <c r="S122" s="28" t="str">
        <f>CONCATENATE(SUMIF($E$6:$E122,E122,$R$6:$R$370)," / ",SUMIF($E$6:$E$370,E122,$R$6:$R$370))</f>
        <v>0 / 0</v>
      </c>
      <c r="T122" s="28" t="str">
        <f>CONCATENATE(SUMIF($F$6:$F122,$F122,$R$6:$R$370)," / ",SUMIF($F$6:$F$370,$F122,$R$6:$R$370))</f>
        <v>0 / 0</v>
      </c>
      <c r="U122" s="28" t="str">
        <f>CONCATENATE(SUM($R$6:$R122)," / ",SUM($R$6:$R$370))</f>
        <v>0 / 0</v>
      </c>
    </row>
    <row r="123" spans="2:21" ht="13" thickBot="1">
      <c r="B123" s="28"/>
      <c r="C123" s="237">
        <f t="shared" si="12"/>
        <v>42487</v>
      </c>
      <c r="D123" s="35" t="str">
        <f t="shared" si="16"/>
        <v>Mercredi</v>
      </c>
      <c r="E123" s="124">
        <f t="shared" si="9"/>
        <v>18</v>
      </c>
      <c r="F123" s="124">
        <f t="shared" si="10"/>
        <v>4</v>
      </c>
      <c r="G123" s="27"/>
      <c r="H123" s="28" t="str">
        <f>CONCATENATE(SUMIF($E$6:$E123,$E123,$K$6:$K$370)," / ",SUMIF($E$6:$E$370,$E123,$K$6:$K487))</f>
        <v>0 / 0</v>
      </c>
      <c r="I123" s="28" t="str">
        <f>CONCATENATE(SUMIF($F$6:$F123,$F123,$K$6:$K487)," / ",SUMIF($F$6:$F$370,$F123,$K$6:$K487))</f>
        <v>0 / 0</v>
      </c>
      <c r="J123" s="28" t="str">
        <f>CONCATENATE(SUM($K$6:$K123)," / ",SUM($K$6:$K$370))</f>
        <v>180,895 / 180,895</v>
      </c>
      <c r="K123" s="245">
        <v>0</v>
      </c>
      <c r="L123" s="28"/>
      <c r="M123" s="28" t="str">
        <f>CONCATENATE(SUMIF($E$6:$E123,$E123,$P$6:$P$370)," / ",SUMIF($E$6:$E$370,$E123,$P$6:$P$370))</f>
        <v>0 / 0</v>
      </c>
      <c r="N123" s="28" t="str">
        <f ca="1">CONCATENATE(SUMIF($F$6:$F123,$F123,$P123)," / ",SUMIF($F$6:$F$370,$F123,$P$6:$P$370))</f>
        <v>0 / 0</v>
      </c>
      <c r="O123" s="28" t="str">
        <f t="shared" si="11"/>
        <v>0 / 30</v>
      </c>
      <c r="P123" s="245">
        <v>0</v>
      </c>
      <c r="Q123" s="28"/>
      <c r="R123" s="246">
        <v>0</v>
      </c>
      <c r="S123" s="28" t="str">
        <f>CONCATENATE(SUMIF($E$6:$E123,E123,$R$6:$R$370)," / ",SUMIF($E$6:$E$370,E123,$R$6:$R$370))</f>
        <v>0 / 0</v>
      </c>
      <c r="T123" s="28" t="str">
        <f>CONCATENATE(SUMIF($F$6:$F123,$F123,$R$6:$R$370)," / ",SUMIF($F$6:$F$370,$F123,$R$6:$R$370))</f>
        <v>0 / 0</v>
      </c>
      <c r="U123" s="28" t="str">
        <f>CONCATENATE(SUM($R$6:$R123)," / ",SUM($R$6:$R$370))</f>
        <v>0 / 0</v>
      </c>
    </row>
    <row r="124" spans="2:21" ht="13" thickBot="1">
      <c r="B124" s="28"/>
      <c r="C124" s="237">
        <f t="shared" si="12"/>
        <v>42488</v>
      </c>
      <c r="D124" s="35" t="str">
        <f t="shared" si="16"/>
        <v>Jeudi</v>
      </c>
      <c r="E124" s="124">
        <f t="shared" si="9"/>
        <v>18</v>
      </c>
      <c r="F124" s="124">
        <f t="shared" si="10"/>
        <v>4</v>
      </c>
      <c r="G124" s="27"/>
      <c r="H124" s="28" t="str">
        <f>CONCATENATE(SUMIF($E$6:$E124,$E124,$K$6:$K$370)," / ",SUMIF($E$6:$E$370,$E124,$K$6:$K488))</f>
        <v>0 / 0</v>
      </c>
      <c r="I124" s="28" t="str">
        <f>CONCATENATE(SUMIF($F$6:$F124,$F124,$K$6:$K488)," / ",SUMIF($F$6:$F$370,$F124,$K$6:$K488))</f>
        <v>0 / 0</v>
      </c>
      <c r="J124" s="28" t="str">
        <f>CONCATENATE(SUM($K$6:$K124)," / ",SUM($K$6:$K$370))</f>
        <v>180,895 / 180,895</v>
      </c>
      <c r="K124" s="245">
        <v>0</v>
      </c>
      <c r="L124" s="28"/>
      <c r="M124" s="28" t="str">
        <f>CONCATENATE(SUMIF($E$6:$E124,$E124,$P$6:$P$370)," / ",SUMIF($E$6:$E$370,$E124,$P$6:$P$370))</f>
        <v>0 / 0</v>
      </c>
      <c r="N124" s="28" t="str">
        <f ca="1">CONCATENATE(SUMIF($F$6:$F124,$F124,$P124)," / ",SUMIF($F$6:$F$370,$F124,$P$6:$P$370))</f>
        <v>0 / 0</v>
      </c>
      <c r="O124" s="28" t="str">
        <f t="shared" si="11"/>
        <v>0 / 30</v>
      </c>
      <c r="P124" s="245">
        <v>0</v>
      </c>
      <c r="Q124" s="28"/>
      <c r="R124" s="246">
        <v>0</v>
      </c>
      <c r="S124" s="28" t="str">
        <f>CONCATENATE(SUMIF($E$6:$E124,E124,$R$6:$R$370)," / ",SUMIF($E$6:$E$370,E124,$R$6:$R$370))</f>
        <v>0 / 0</v>
      </c>
      <c r="T124" s="28" t="str">
        <f>CONCATENATE(SUMIF($F$6:$F124,$F124,$R$6:$R$370)," / ",SUMIF($F$6:$F$370,$F124,$R$6:$R$370))</f>
        <v>0 / 0</v>
      </c>
      <c r="U124" s="28" t="str">
        <f>CONCATENATE(SUM($R$6:$R124)," / ",SUM($R$6:$R$370))</f>
        <v>0 / 0</v>
      </c>
    </row>
    <row r="125" spans="2:21" ht="13" thickBot="1">
      <c r="B125" s="28"/>
      <c r="C125" s="237">
        <f t="shared" si="12"/>
        <v>42489</v>
      </c>
      <c r="D125" s="35" t="str">
        <f t="shared" si="16"/>
        <v>Vendredi</v>
      </c>
      <c r="E125" s="124">
        <f t="shared" si="9"/>
        <v>18</v>
      </c>
      <c r="F125" s="124">
        <f t="shared" si="10"/>
        <v>4</v>
      </c>
      <c r="G125" s="27"/>
      <c r="H125" s="28" t="str">
        <f>CONCATENATE(SUMIF($E$6:$E125,$E125,$K$6:$K$370)," / ",SUMIF($E$6:$E$370,$E125,$K$6:$K489))</f>
        <v>0 / 0</v>
      </c>
      <c r="I125" s="28" t="str">
        <f>CONCATENATE(SUMIF($F$6:$F125,$F125,$K$6:$K489)," / ",SUMIF($F$6:$F$370,$F125,$K$6:$K489))</f>
        <v>0 / 0</v>
      </c>
      <c r="J125" s="28" t="str">
        <f>CONCATENATE(SUM($K$6:$K125)," / ",SUM($K$6:$K$370))</f>
        <v>180,895 / 180,895</v>
      </c>
      <c r="K125" s="245">
        <v>0</v>
      </c>
      <c r="L125" s="28"/>
      <c r="M125" s="28" t="str">
        <f>CONCATENATE(SUMIF($E$6:$E125,$E125,$P$6:$P$370)," / ",SUMIF($E$6:$E$370,$E125,$P$6:$P$370))</f>
        <v>0 / 0</v>
      </c>
      <c r="N125" s="28" t="str">
        <f ca="1">CONCATENATE(SUMIF($F$6:$F125,$F125,$P125)," / ",SUMIF($F$6:$F$370,$F125,$P$6:$P$370))</f>
        <v>0 / 0</v>
      </c>
      <c r="O125" s="28" t="str">
        <f t="shared" si="11"/>
        <v>0 / 30</v>
      </c>
      <c r="P125" s="245">
        <v>0</v>
      </c>
      <c r="Q125" s="28"/>
      <c r="R125" s="246">
        <v>0</v>
      </c>
      <c r="S125" s="28" t="str">
        <f>CONCATENATE(SUMIF($E$6:$E125,E125,$R$6:$R$370)," / ",SUMIF($E$6:$E$370,E125,$R$6:$R$370))</f>
        <v>0 / 0</v>
      </c>
      <c r="T125" s="28" t="str">
        <f>CONCATENATE(SUMIF($F$6:$F125,$F125,$R$6:$R$370)," / ",SUMIF($F$6:$F$370,$F125,$R$6:$R$370))</f>
        <v>0 / 0</v>
      </c>
      <c r="U125" s="28" t="str">
        <f>CONCATENATE(SUM($R$6:$R125)," / ",SUM($R$6:$R$370))</f>
        <v>0 / 0</v>
      </c>
    </row>
    <row r="126" spans="2:21" ht="13" thickBot="1">
      <c r="B126" s="28"/>
      <c r="C126" s="237">
        <f t="shared" si="12"/>
        <v>42490</v>
      </c>
      <c r="D126" s="35" t="str">
        <f t="shared" si="16"/>
        <v>samedi</v>
      </c>
      <c r="E126" s="124">
        <f t="shared" si="9"/>
        <v>18</v>
      </c>
      <c r="F126" s="124">
        <f t="shared" si="10"/>
        <v>4</v>
      </c>
      <c r="G126" s="27"/>
      <c r="H126" s="28" t="str">
        <f>CONCATENATE(SUMIF($E$6:$E126,$E126,$K$6:$K$370)," / ",SUMIF($E$6:$E$370,$E126,$K$6:$K490))</f>
        <v>0 / 0</v>
      </c>
      <c r="I126" s="28" t="str">
        <f>CONCATENATE(SUMIF($F$6:$F126,$F126,$K$6:$K490)," / ",SUMIF($F$6:$F$370,$F126,$K$6:$K490))</f>
        <v>0 / 0</v>
      </c>
      <c r="J126" s="28" t="str">
        <f>CONCATENATE(SUM($K$6:$K126)," / ",SUM($K$6:$K$370))</f>
        <v>180,895 / 180,895</v>
      </c>
      <c r="K126" s="245">
        <v>0</v>
      </c>
      <c r="L126" s="28"/>
      <c r="M126" s="28" t="str">
        <f>CONCATENATE(SUMIF($E$6:$E126,$E126,$P$6:$P$370)," / ",SUMIF($E$6:$E$370,$E126,$P$6:$P$370))</f>
        <v>0 / 0</v>
      </c>
      <c r="N126" s="28" t="str">
        <f ca="1">CONCATENATE(SUMIF($F$6:$F126,$F126,$P126)," / ",SUMIF($F$6:$F$370,$F126,$P$6:$P$370))</f>
        <v>0 / 0</v>
      </c>
      <c r="O126" s="28" t="str">
        <f t="shared" si="11"/>
        <v>0 / 30</v>
      </c>
      <c r="P126" s="245">
        <v>0</v>
      </c>
      <c r="Q126" s="28"/>
      <c r="R126" s="246">
        <v>0</v>
      </c>
      <c r="S126" s="28" t="str">
        <f>CONCATENATE(SUMIF($E$6:$E126,E126,$R$6:$R$370)," / ",SUMIF($E$6:$E$370,E126,$R$6:$R$370))</f>
        <v>0 / 0</v>
      </c>
      <c r="T126" s="28" t="str">
        <f>CONCATENATE(SUMIF($F$6:$F126,$F126,$R$6:$R$370)," / ",SUMIF($F$6:$F$370,$F126,$R$6:$R$370))</f>
        <v>0 / 0</v>
      </c>
      <c r="U126" s="28" t="str">
        <f>CONCATENATE(SUM($R$6:$R126)," / ",SUM($R$6:$R$370))</f>
        <v>0 / 0</v>
      </c>
    </row>
    <row r="127" spans="2:21" ht="13" thickBot="1">
      <c r="B127" s="28"/>
      <c r="C127" s="237">
        <f t="shared" si="12"/>
        <v>42491</v>
      </c>
      <c r="D127" s="35" t="str">
        <f t="shared" si="16"/>
        <v>Dimanche</v>
      </c>
      <c r="E127" s="124">
        <f t="shared" si="9"/>
        <v>19</v>
      </c>
      <c r="F127" s="124">
        <f t="shared" si="10"/>
        <v>5</v>
      </c>
      <c r="G127" s="27"/>
      <c r="H127" s="28" t="str">
        <f>CONCATENATE(SUMIF($E$6:$E127,$E127,$K$6:$K$370)," / ",SUMIF($E$6:$E$370,$E127,$K$6:$K491))</f>
        <v>0 / 0</v>
      </c>
      <c r="I127" s="28" t="str">
        <f>CONCATENATE(SUMIF($F$6:$F127,$F127,$K$6:$K491)," / ",SUMIF($F$6:$F$370,$F127,$K$6:$K491))</f>
        <v>0 / 0</v>
      </c>
      <c r="J127" s="28" t="str">
        <f>CONCATENATE(SUM($K$6:$K127)," / ",SUM($K$6:$K$370))</f>
        <v>180,895 / 180,895</v>
      </c>
      <c r="K127" s="245">
        <v>0</v>
      </c>
      <c r="L127" s="28"/>
      <c r="M127" s="28" t="str">
        <f>CONCATENATE(SUMIF($E$6:$E127,$E127,$P$6:$P$370)," / ",SUMIF($E$6:$E$370,$E127,$P$6:$P$370))</f>
        <v>0 / 0</v>
      </c>
      <c r="N127" s="28" t="str">
        <f ca="1">CONCATENATE(SUMIF($F$6:$F127,$F127,$P127)," / ",SUMIF($F$6:$F$370,$F127,$P$6:$P$370))</f>
        <v>0 / 0</v>
      </c>
      <c r="O127" s="28" t="str">
        <f t="shared" si="11"/>
        <v>0 / 30</v>
      </c>
      <c r="P127" s="245">
        <v>0</v>
      </c>
      <c r="Q127" s="28"/>
      <c r="R127" s="246">
        <v>0</v>
      </c>
      <c r="S127" s="28" t="str">
        <f>CONCATENATE(SUMIF($E$6:$E127,E127,$R$6:$R$370)," / ",SUMIF($E$6:$E$370,E127,$R$6:$R$370))</f>
        <v>0 / 0</v>
      </c>
      <c r="T127" s="28" t="str">
        <f>CONCATENATE(SUMIF($F$6:$F127,$F127,$R$6:$R$370)," / ",SUMIF($F$6:$F$370,$F127,$R$6:$R$370))</f>
        <v>0 / 0</v>
      </c>
      <c r="U127" s="28" t="str">
        <f>CONCATENATE(SUM($R$6:$R127)," / ",SUM($R$6:$R$370))</f>
        <v>0 / 0</v>
      </c>
    </row>
    <row r="128" spans="2:21" ht="13" thickBot="1">
      <c r="B128" s="28"/>
      <c r="C128" s="237">
        <f t="shared" si="12"/>
        <v>42492</v>
      </c>
      <c r="D128" s="35" t="str">
        <f t="shared" si="16"/>
        <v>Lundi</v>
      </c>
      <c r="E128" s="124">
        <f t="shared" si="9"/>
        <v>19</v>
      </c>
      <c r="F128" s="124">
        <f t="shared" si="10"/>
        <v>5</v>
      </c>
      <c r="G128" s="27"/>
      <c r="H128" s="28" t="str">
        <f>CONCATENATE(SUMIF($E$6:$E128,$E128,$K$6:$K$370)," / ",SUMIF($E$6:$E$370,$E128,$K$6:$K492))</f>
        <v>0 / 0</v>
      </c>
      <c r="I128" s="28" t="str">
        <f>CONCATENATE(SUMIF($F$6:$F128,$F128,$K$6:$K492)," / ",SUMIF($F$6:$F$370,$F128,$K$6:$K492))</f>
        <v>0 / 0</v>
      </c>
      <c r="J128" s="28" t="str">
        <f>CONCATENATE(SUM($K$6:$K128)," / ",SUM($K$6:$K$370))</f>
        <v>180,895 / 180,895</v>
      </c>
      <c r="K128" s="245">
        <v>0</v>
      </c>
      <c r="L128" s="28"/>
      <c r="M128" s="28" t="str">
        <f>CONCATENATE(SUMIF($E$6:$E128,$E128,$P$6:$P$370)," / ",SUMIF($E$6:$E$370,$E128,$P$6:$P$370))</f>
        <v>0 / 0</v>
      </c>
      <c r="N128" s="28" t="str">
        <f ca="1">CONCATENATE(SUMIF($F$6:$F128,$F128,$P128)," / ",SUMIF($F$6:$F$370,$F128,$P$6:$P$370))</f>
        <v>0 / 0</v>
      </c>
      <c r="O128" s="28" t="str">
        <f t="shared" si="11"/>
        <v>0 / 30</v>
      </c>
      <c r="P128" s="245">
        <v>0</v>
      </c>
      <c r="Q128" s="28"/>
      <c r="R128" s="246">
        <v>0</v>
      </c>
      <c r="S128" s="28" t="str">
        <f>CONCATENATE(SUMIF($E$6:$E128,E128,$R$6:$R$370)," / ",SUMIF($E$6:$E$370,E128,$R$6:$R$370))</f>
        <v>0 / 0</v>
      </c>
      <c r="T128" s="28" t="str">
        <f>CONCATENATE(SUMIF($F$6:$F128,$F128,$R$6:$R$370)," / ",SUMIF($F$6:$F$370,$F128,$R$6:$R$370))</f>
        <v>0 / 0</v>
      </c>
      <c r="U128" s="28" t="str">
        <f>CONCATENATE(SUM($R$6:$R128)," / ",SUM($R$6:$R$370))</f>
        <v>0 / 0</v>
      </c>
    </row>
    <row r="129" spans="2:21" ht="13" thickBot="1">
      <c r="B129" s="28"/>
      <c r="C129" s="237">
        <f t="shared" si="12"/>
        <v>42493</v>
      </c>
      <c r="D129" s="35" t="str">
        <f t="shared" si="16"/>
        <v>Mardi</v>
      </c>
      <c r="E129" s="124">
        <f t="shared" si="9"/>
        <v>19</v>
      </c>
      <c r="F129" s="124">
        <f t="shared" si="10"/>
        <v>5</v>
      </c>
      <c r="G129" s="27"/>
      <c r="H129" s="28" t="str">
        <f>CONCATENATE(SUMIF($E$6:$E129,$E129,$K$6:$K$370)," / ",SUMIF($E$6:$E$370,$E129,$K$6:$K493))</f>
        <v>0 / 0</v>
      </c>
      <c r="I129" s="28" t="str">
        <f>CONCATENATE(SUMIF($F$6:$F129,$F129,$K$6:$K493)," / ",SUMIF($F$6:$F$370,$F129,$K$6:$K493))</f>
        <v>0 / 0</v>
      </c>
      <c r="J129" s="28" t="str">
        <f>CONCATENATE(SUM($K$6:$K129)," / ",SUM($K$6:$K$370))</f>
        <v>180,895 / 180,895</v>
      </c>
      <c r="K129" s="245">
        <v>0</v>
      </c>
      <c r="L129" s="28"/>
      <c r="M129" s="28" t="str">
        <f>CONCATENATE(SUMIF($E$6:$E129,$E129,$P$6:$P$370)," / ",SUMIF($E$6:$E$370,$E129,$P$6:$P$370))</f>
        <v>0 / 0</v>
      </c>
      <c r="N129" s="28" t="str">
        <f ca="1">CONCATENATE(SUMIF($F$6:$F129,$F129,$P129)," / ",SUMIF($F$6:$F$370,$F129,$P$6:$P$370))</f>
        <v>0 / 0</v>
      </c>
      <c r="O129" s="28" t="str">
        <f t="shared" si="11"/>
        <v>0 / 30</v>
      </c>
      <c r="P129" s="245">
        <v>0</v>
      </c>
      <c r="Q129" s="28"/>
      <c r="R129" s="246">
        <v>0</v>
      </c>
      <c r="S129" s="28" t="str">
        <f>CONCATENATE(SUMIF($E$6:$E129,E129,$R$6:$R$370)," / ",SUMIF($E$6:$E$370,E129,$R$6:$R$370))</f>
        <v>0 / 0</v>
      </c>
      <c r="T129" s="28" t="str">
        <f>CONCATENATE(SUMIF($F$6:$F129,$F129,$R$6:$R$370)," / ",SUMIF($F$6:$F$370,$F129,$R$6:$R$370))</f>
        <v>0 / 0</v>
      </c>
      <c r="U129" s="28" t="str">
        <f>CONCATENATE(SUM($R$6:$R129)," / ",SUM($R$6:$R$370))</f>
        <v>0 / 0</v>
      </c>
    </row>
    <row r="130" spans="2:21" ht="13" thickBot="1">
      <c r="B130" s="28"/>
      <c r="C130" s="237">
        <f t="shared" si="12"/>
        <v>42494</v>
      </c>
      <c r="D130" s="35" t="str">
        <f t="shared" si="16"/>
        <v>Mercredi</v>
      </c>
      <c r="E130" s="124">
        <f t="shared" si="9"/>
        <v>19</v>
      </c>
      <c r="F130" s="124">
        <f t="shared" si="10"/>
        <v>5</v>
      </c>
      <c r="G130" s="27"/>
      <c r="H130" s="28" t="str">
        <f>CONCATENATE(SUMIF($E$6:$E130,$E130,$K$6:$K$370)," / ",SUMIF($E$6:$E$370,$E130,$K$6:$K494))</f>
        <v>0 / 0</v>
      </c>
      <c r="I130" s="28" t="str">
        <f>CONCATENATE(SUMIF($F$6:$F130,$F130,$K$6:$K494)," / ",SUMIF($F$6:$F$370,$F130,$K$6:$K494))</f>
        <v>0 / 0</v>
      </c>
      <c r="J130" s="28" t="str">
        <f>CONCATENATE(SUM($K$6:$K130)," / ",SUM($K$6:$K$370))</f>
        <v>180,895 / 180,895</v>
      </c>
      <c r="K130" s="245">
        <v>0</v>
      </c>
      <c r="L130" s="28"/>
      <c r="M130" s="28" t="str">
        <f>CONCATENATE(SUMIF($E$6:$E130,$E130,$P$6:$P$370)," / ",SUMIF($E$6:$E$370,$E130,$P$6:$P$370))</f>
        <v>0 / 0</v>
      </c>
      <c r="N130" s="28" t="str">
        <f ca="1">CONCATENATE(SUMIF($F$6:$F130,$F130,$P130)," / ",SUMIF($F$6:$F$370,$F130,$P$6:$P$370))</f>
        <v>0 / 0</v>
      </c>
      <c r="O130" s="28" t="str">
        <f t="shared" si="11"/>
        <v>0 / 30</v>
      </c>
      <c r="P130" s="245">
        <v>0</v>
      </c>
      <c r="Q130" s="28"/>
      <c r="R130" s="246">
        <v>0</v>
      </c>
      <c r="S130" s="28" t="str">
        <f>CONCATENATE(SUMIF($E$6:$E130,E130,$R$6:$R$370)," / ",SUMIF($E$6:$E$370,E130,$R$6:$R$370))</f>
        <v>0 / 0</v>
      </c>
      <c r="T130" s="28" t="str">
        <f>CONCATENATE(SUMIF($F$6:$F130,$F130,$R$6:$R$370)," / ",SUMIF($F$6:$F$370,$F130,$R$6:$R$370))</f>
        <v>0 / 0</v>
      </c>
      <c r="U130" s="28" t="str">
        <f>CONCATENATE(SUM($R$6:$R130)," / ",SUM($R$6:$R$370))</f>
        <v>0 / 0</v>
      </c>
    </row>
    <row r="131" spans="2:21" ht="13" thickBot="1">
      <c r="B131" s="28"/>
      <c r="C131" s="237">
        <f t="shared" si="12"/>
        <v>42495</v>
      </c>
      <c r="D131" s="35" t="str">
        <f t="shared" si="16"/>
        <v>Jeudi</v>
      </c>
      <c r="E131" s="124">
        <f t="shared" si="9"/>
        <v>19</v>
      </c>
      <c r="F131" s="124">
        <f t="shared" si="10"/>
        <v>5</v>
      </c>
      <c r="G131" s="27"/>
      <c r="H131" s="28" t="str">
        <f>CONCATENATE(SUMIF($E$6:$E131,$E131,$K$6:$K$370)," / ",SUMIF($E$6:$E$370,$E131,$K$6:$K495))</f>
        <v>0 / 0</v>
      </c>
      <c r="I131" s="28" t="str">
        <f>CONCATENATE(SUMIF($F$6:$F131,$F131,$K$6:$K495)," / ",SUMIF($F$6:$F$370,$F131,$K$6:$K495))</f>
        <v>0 / 0</v>
      </c>
      <c r="J131" s="28" t="str">
        <f>CONCATENATE(SUM($K$6:$K131)," / ",SUM($K$6:$K$370))</f>
        <v>180,895 / 180,895</v>
      </c>
      <c r="K131" s="245">
        <v>0</v>
      </c>
      <c r="L131" s="28"/>
      <c r="M131" s="28" t="str">
        <f>CONCATENATE(SUMIF($E$6:$E131,$E131,$P$6:$P$370)," / ",SUMIF($E$6:$E$370,$E131,$P$6:$P$370))</f>
        <v>0 / 0</v>
      </c>
      <c r="N131" s="28" t="str">
        <f ca="1">CONCATENATE(SUMIF($F$6:$F131,$F131,$P131)," / ",SUMIF($F$6:$F$370,$F131,$P$6:$P$370))</f>
        <v>0 / 0</v>
      </c>
      <c r="O131" s="28" t="str">
        <f t="shared" si="11"/>
        <v>0 / 30</v>
      </c>
      <c r="P131" s="245">
        <v>0</v>
      </c>
      <c r="Q131" s="28"/>
      <c r="R131" s="246">
        <v>0</v>
      </c>
      <c r="S131" s="28" t="str">
        <f>CONCATENATE(SUMIF($E$6:$E131,E131,$R$6:$R$370)," / ",SUMIF($E$6:$E$370,E131,$R$6:$R$370))</f>
        <v>0 / 0</v>
      </c>
      <c r="T131" s="28" t="str">
        <f>CONCATENATE(SUMIF($F$6:$F131,$F131,$R$6:$R$370)," / ",SUMIF($F$6:$F$370,$F131,$R$6:$R$370))</f>
        <v>0 / 0</v>
      </c>
      <c r="U131" s="28" t="str">
        <f>CONCATENATE(SUM($R$6:$R131)," / ",SUM($R$6:$R$370))</f>
        <v>0 / 0</v>
      </c>
    </row>
    <row r="132" spans="2:21" ht="13" thickBot="1">
      <c r="B132" s="28"/>
      <c r="C132" s="237">
        <f t="shared" si="12"/>
        <v>42496</v>
      </c>
      <c r="D132" s="35" t="str">
        <f t="shared" si="16"/>
        <v>Vendredi</v>
      </c>
      <c r="E132" s="124">
        <f t="shared" si="9"/>
        <v>19</v>
      </c>
      <c r="F132" s="124">
        <f t="shared" si="10"/>
        <v>5</v>
      </c>
      <c r="G132" s="27"/>
      <c r="H132" s="28" t="str">
        <f>CONCATENATE(SUMIF($E$6:$E132,$E132,$K$6:$K$370)," / ",SUMIF($E$6:$E$370,$E132,$K$6:$K496))</f>
        <v>0 / 0</v>
      </c>
      <c r="I132" s="28" t="str">
        <f>CONCATENATE(SUMIF($F$6:$F132,$F132,$K$6:$K496)," / ",SUMIF($F$6:$F$370,$F132,$K$6:$K496))</f>
        <v>0 / 0</v>
      </c>
      <c r="J132" s="28" t="str">
        <f>CONCATENATE(SUM($K$6:$K132)," / ",SUM($K$6:$K$370))</f>
        <v>180,895 / 180,895</v>
      </c>
      <c r="K132" s="245">
        <v>0</v>
      </c>
      <c r="L132" s="28"/>
      <c r="M132" s="28" t="str">
        <f>CONCATENATE(SUMIF($E$6:$E132,$E132,$P$6:$P$370)," / ",SUMIF($E$6:$E$370,$E132,$P$6:$P$370))</f>
        <v>0 / 0</v>
      </c>
      <c r="N132" s="28" t="str">
        <f ca="1">CONCATENATE(SUMIF($F$6:$F132,$F132,$P132)," / ",SUMIF($F$6:$F$370,$F132,$P$6:$P$370))</f>
        <v>0 / 0</v>
      </c>
      <c r="O132" s="28" t="str">
        <f t="shared" si="11"/>
        <v>0 / 30</v>
      </c>
      <c r="P132" s="245">
        <v>0</v>
      </c>
      <c r="Q132" s="28"/>
      <c r="R132" s="246">
        <v>0</v>
      </c>
      <c r="S132" s="28" t="str">
        <f>CONCATENATE(SUMIF($E$6:$E132,E132,$R$6:$R$370)," / ",SUMIF($E$6:$E$370,E132,$R$6:$R$370))</f>
        <v>0 / 0</v>
      </c>
      <c r="T132" s="28" t="str">
        <f>CONCATENATE(SUMIF($F$6:$F132,$F132,$R$6:$R$370)," / ",SUMIF($F$6:$F$370,$F132,$R$6:$R$370))</f>
        <v>0 / 0</v>
      </c>
      <c r="U132" s="28" t="str">
        <f>CONCATENATE(SUM($R$6:$R132)," / ",SUM($R$6:$R$370))</f>
        <v>0 / 0</v>
      </c>
    </row>
    <row r="133" spans="2:21" ht="13" thickBot="1">
      <c r="B133" s="28"/>
      <c r="C133" s="237">
        <f t="shared" si="12"/>
        <v>42497</v>
      </c>
      <c r="D133" s="35" t="str">
        <f t="shared" si="16"/>
        <v>samedi</v>
      </c>
      <c r="E133" s="124">
        <f t="shared" si="9"/>
        <v>19</v>
      </c>
      <c r="F133" s="124">
        <f t="shared" si="10"/>
        <v>5</v>
      </c>
      <c r="G133" s="27"/>
      <c r="H133" s="28" t="str">
        <f>CONCATENATE(SUMIF($E$6:$E133,$E133,$K$6:$K$370)," / ",SUMIF($E$6:$E$370,$E133,$K$6:$K497))</f>
        <v>0 / 0</v>
      </c>
      <c r="I133" s="28" t="str">
        <f>CONCATENATE(SUMIF($F$6:$F133,$F133,$K$6:$K497)," / ",SUMIF($F$6:$F$370,$F133,$K$6:$K497))</f>
        <v>0 / 0</v>
      </c>
      <c r="J133" s="28" t="str">
        <f>CONCATENATE(SUM($K$6:$K133)," / ",SUM($K$6:$K$370))</f>
        <v>180,895 / 180,895</v>
      </c>
      <c r="K133" s="245">
        <v>0</v>
      </c>
      <c r="L133" s="28"/>
      <c r="M133" s="28" t="str">
        <f>CONCATENATE(SUMIF($E$6:$E133,$E133,$P$6:$P$370)," / ",SUMIF($E$6:$E$370,$E133,$P$6:$P$370))</f>
        <v>0 / 0</v>
      </c>
      <c r="N133" s="28" t="str">
        <f ca="1">CONCATENATE(SUMIF($F$6:$F133,$F133,$P133)," / ",SUMIF($F$6:$F$370,$F133,$P$6:$P$370))</f>
        <v>0 / 0</v>
      </c>
      <c r="O133" s="28" t="str">
        <f t="shared" si="11"/>
        <v>0 / 30</v>
      </c>
      <c r="P133" s="245">
        <v>0</v>
      </c>
      <c r="Q133" s="28"/>
      <c r="R133" s="246">
        <v>0</v>
      </c>
      <c r="S133" s="28" t="str">
        <f>CONCATENATE(SUMIF($E$6:$E133,E133,$R$6:$R$370)," / ",SUMIF($E$6:$E$370,E133,$R$6:$R$370))</f>
        <v>0 / 0</v>
      </c>
      <c r="T133" s="28" t="str">
        <f>CONCATENATE(SUMIF($F$6:$F133,$F133,$R$6:$R$370)," / ",SUMIF($F$6:$F$370,$F133,$R$6:$R$370))</f>
        <v>0 / 0</v>
      </c>
      <c r="U133" s="28" t="str">
        <f>CONCATENATE(SUM($R$6:$R133)," / ",SUM($R$6:$R$370))</f>
        <v>0 / 0</v>
      </c>
    </row>
    <row r="134" spans="2:21" ht="13" thickBot="1">
      <c r="B134" s="28"/>
      <c r="C134" s="237">
        <f t="shared" si="12"/>
        <v>42498</v>
      </c>
      <c r="D134" s="35" t="str">
        <f t="shared" si="16"/>
        <v>Dimanche</v>
      </c>
      <c r="E134" s="124">
        <f t="shared" si="9"/>
        <v>20</v>
      </c>
      <c r="F134" s="124">
        <f t="shared" si="10"/>
        <v>5</v>
      </c>
      <c r="G134" s="27"/>
      <c r="H134" s="28" t="str">
        <f>CONCATENATE(SUMIF($E$6:$E134,$E134,$K$6:$K$370)," / ",SUMIF($E$6:$E$370,$E134,$K$6:$K498))</f>
        <v>0 / 0</v>
      </c>
      <c r="I134" s="28" t="str">
        <f>CONCATENATE(SUMIF($F$6:$F134,$F134,$K$6:$K498)," / ",SUMIF($F$6:$F$370,$F134,$K$6:$K498))</f>
        <v>0 / 0</v>
      </c>
      <c r="J134" s="28" t="str">
        <f>CONCATENATE(SUM($K$6:$K134)," / ",SUM($K$6:$K$370))</f>
        <v>180,895 / 180,895</v>
      </c>
      <c r="K134" s="245">
        <v>0</v>
      </c>
      <c r="L134" s="28"/>
      <c r="M134" s="28" t="str">
        <f>CONCATENATE(SUMIF($E$6:$E134,$E134,$P$6:$P$370)," / ",SUMIF($E$6:$E$370,$E134,$P$6:$P$370))</f>
        <v>0 / 0</v>
      </c>
      <c r="N134" s="28" t="str">
        <f ca="1">CONCATENATE(SUMIF($F$6:$F134,$F134,$P134)," / ",SUMIF($F$6:$F$370,$F134,$P$6:$P$370))</f>
        <v>0 / 0</v>
      </c>
      <c r="O134" s="28" t="str">
        <f t="shared" si="11"/>
        <v>0 / 30</v>
      </c>
      <c r="P134" s="245">
        <v>0</v>
      </c>
      <c r="Q134" s="28"/>
      <c r="R134" s="246">
        <v>0</v>
      </c>
      <c r="S134" s="28" t="str">
        <f>CONCATENATE(SUMIF($E$6:$E134,E134,$R$6:$R$370)," / ",SUMIF($E$6:$E$370,E134,$R$6:$R$370))</f>
        <v>0 / 0</v>
      </c>
      <c r="T134" s="28" t="str">
        <f>CONCATENATE(SUMIF($F$6:$F134,$F134,$R$6:$R$370)," / ",SUMIF($F$6:$F$370,$F134,$R$6:$R$370))</f>
        <v>0 / 0</v>
      </c>
      <c r="U134" s="28" t="str">
        <f>CONCATENATE(SUM($R$6:$R134)," / ",SUM($R$6:$R$370))</f>
        <v>0 / 0</v>
      </c>
    </row>
    <row r="135" spans="2:21" ht="13" thickBot="1">
      <c r="B135" s="28"/>
      <c r="C135" s="237">
        <f t="shared" si="12"/>
        <v>42499</v>
      </c>
      <c r="D135" s="35" t="str">
        <f t="shared" si="16"/>
        <v>Lundi</v>
      </c>
      <c r="E135" s="124">
        <f t="shared" ref="E135:E198" si="17">WEEKNUM($C135)</f>
        <v>20</v>
      </c>
      <c r="F135" s="124">
        <f t="shared" ref="F135:F198" si="18">MONTH(C135)</f>
        <v>5</v>
      </c>
      <c r="G135" s="27"/>
      <c r="H135" s="28" t="str">
        <f>CONCATENATE(SUMIF($E$6:$E135,$E135,$K$6:$K$370)," / ",SUMIF($E$6:$E$370,$E135,$K$6:$K499))</f>
        <v>0 / 0</v>
      </c>
      <c r="I135" s="28" t="str">
        <f>CONCATENATE(SUMIF($F$6:$F135,$F135,$K$6:$K499)," / ",SUMIF($F$6:$F$370,$F135,$K$6:$K499))</f>
        <v>0 / 0</v>
      </c>
      <c r="J135" s="28" t="str">
        <f>CONCATENATE(SUM($K$6:$K135)," / ",SUM($K$6:$K$370))</f>
        <v>180,895 / 180,895</v>
      </c>
      <c r="K135" s="245">
        <v>0</v>
      </c>
      <c r="L135" s="28"/>
      <c r="M135" s="28" t="str">
        <f>CONCATENATE(SUMIF($E$6:$E135,$E135,$P$6:$P$370)," / ",SUMIF($E$6:$E$370,$E135,$P$6:$P$370))</f>
        <v>0 / 0</v>
      </c>
      <c r="N135" s="28" t="str">
        <f ca="1">CONCATENATE(SUMIF($F$6:$F135,$F135,$P135)," / ",SUMIF($F$6:$F$370,$F135,$P$6:$P$370))</f>
        <v>0 / 0</v>
      </c>
      <c r="O135" s="28" t="str">
        <f t="shared" ref="O135:O198" si="19">CONCATENATE(SUM($P135)," / ",SUM($P$6:$P$370))</f>
        <v>0 / 30</v>
      </c>
      <c r="P135" s="245">
        <v>0</v>
      </c>
      <c r="Q135" s="28"/>
      <c r="R135" s="246">
        <v>0</v>
      </c>
      <c r="S135" s="28" t="str">
        <f>CONCATENATE(SUMIF($E$6:$E135,E135,$R$6:$R$370)," / ",SUMIF($E$6:$E$370,E135,$R$6:$R$370))</f>
        <v>0 / 0</v>
      </c>
      <c r="T135" s="28" t="str">
        <f>CONCATENATE(SUMIF($F$6:$F135,$F135,$R$6:$R$370)," / ",SUMIF($F$6:$F$370,$F135,$R$6:$R$370))</f>
        <v>0 / 0</v>
      </c>
      <c r="U135" s="28" t="str">
        <f>CONCATENATE(SUM($R$6:$R135)," / ",SUM($R$6:$R$370))</f>
        <v>0 / 0</v>
      </c>
    </row>
    <row r="136" spans="2:21" ht="13" thickBot="1">
      <c r="B136" s="28"/>
      <c r="C136" s="237">
        <f t="shared" ref="C136:C199" si="20">C135+1</f>
        <v>42500</v>
      </c>
      <c r="D136" s="35" t="str">
        <f t="shared" si="16"/>
        <v>Mardi</v>
      </c>
      <c r="E136" s="124">
        <f t="shared" si="17"/>
        <v>20</v>
      </c>
      <c r="F136" s="124">
        <f t="shared" si="18"/>
        <v>5</v>
      </c>
      <c r="G136" s="27"/>
      <c r="H136" s="28" t="str">
        <f>CONCATENATE(SUMIF($E$6:$E136,$E136,$K$6:$K$370)," / ",SUMIF($E$6:$E$370,$E136,$K$6:$K500))</f>
        <v>0 / 0</v>
      </c>
      <c r="I136" s="28" t="str">
        <f>CONCATENATE(SUMIF($F$6:$F136,$F136,$K$6:$K500)," / ",SUMIF($F$6:$F$370,$F136,$K$6:$K500))</f>
        <v>0 / 0</v>
      </c>
      <c r="J136" s="28" t="str">
        <f>CONCATENATE(SUM($K$6:$K136)," / ",SUM($K$6:$K$370))</f>
        <v>180,895 / 180,895</v>
      </c>
      <c r="K136" s="245">
        <v>0</v>
      </c>
      <c r="L136" s="28"/>
      <c r="M136" s="28" t="str">
        <f>CONCATENATE(SUMIF($E$6:$E136,$E136,$P$6:$P$370)," / ",SUMIF($E$6:$E$370,$E136,$P$6:$P$370))</f>
        <v>0 / 0</v>
      </c>
      <c r="N136" s="28" t="str">
        <f ca="1">CONCATENATE(SUMIF($F$6:$F136,$F136,$P136)," / ",SUMIF($F$6:$F$370,$F136,$P$6:$P$370))</f>
        <v>0 / 0</v>
      </c>
      <c r="O136" s="28" t="str">
        <f t="shared" si="19"/>
        <v>0 / 30</v>
      </c>
      <c r="P136" s="245">
        <v>0</v>
      </c>
      <c r="Q136" s="28"/>
      <c r="R136" s="246">
        <v>0</v>
      </c>
      <c r="S136" s="28" t="str">
        <f>CONCATENATE(SUMIF($E$6:$E136,E136,$R$6:$R$370)," / ",SUMIF($E$6:$E$370,E136,$R$6:$R$370))</f>
        <v>0 / 0</v>
      </c>
      <c r="T136" s="28" t="str">
        <f>CONCATENATE(SUMIF($F$6:$F136,$F136,$R$6:$R$370)," / ",SUMIF($F$6:$F$370,$F136,$R$6:$R$370))</f>
        <v>0 / 0</v>
      </c>
      <c r="U136" s="28" t="str">
        <f>CONCATENATE(SUM($R$6:$R136)," / ",SUM($R$6:$R$370))</f>
        <v>0 / 0</v>
      </c>
    </row>
    <row r="137" spans="2:21" ht="13" thickBot="1">
      <c r="B137" s="28"/>
      <c r="C137" s="237">
        <f t="shared" si="20"/>
        <v>42501</v>
      </c>
      <c r="D137" s="35" t="str">
        <f t="shared" si="16"/>
        <v>Mercredi</v>
      </c>
      <c r="E137" s="124">
        <f t="shared" si="17"/>
        <v>20</v>
      </c>
      <c r="F137" s="124">
        <f t="shared" si="18"/>
        <v>5</v>
      </c>
      <c r="G137" s="27"/>
      <c r="H137" s="28" t="str">
        <f>CONCATENATE(SUMIF($E$6:$E137,$E137,$K$6:$K$370)," / ",SUMIF($E$6:$E$370,$E137,$K$6:$K501))</f>
        <v>0 / 0</v>
      </c>
      <c r="I137" s="28" t="str">
        <f>CONCATENATE(SUMIF($F$6:$F137,$F137,$K$6:$K501)," / ",SUMIF($F$6:$F$370,$F137,$K$6:$K501))</f>
        <v>0 / 0</v>
      </c>
      <c r="J137" s="28" t="str">
        <f>CONCATENATE(SUM($K$6:$K137)," / ",SUM($K$6:$K$370))</f>
        <v>180,895 / 180,895</v>
      </c>
      <c r="K137" s="245">
        <v>0</v>
      </c>
      <c r="L137" s="28"/>
      <c r="M137" s="28" t="str">
        <f>CONCATENATE(SUMIF($E$6:$E137,$E137,$P$6:$P$370)," / ",SUMIF($E$6:$E$370,$E137,$P$6:$P$370))</f>
        <v>0 / 0</v>
      </c>
      <c r="N137" s="28" t="str">
        <f ca="1">CONCATENATE(SUMIF($F$6:$F137,$F137,$P137)," / ",SUMIF($F$6:$F$370,$F137,$P$6:$P$370))</f>
        <v>0 / 0</v>
      </c>
      <c r="O137" s="28" t="str">
        <f t="shared" si="19"/>
        <v>0 / 30</v>
      </c>
      <c r="P137" s="245">
        <v>0</v>
      </c>
      <c r="Q137" s="28"/>
      <c r="R137" s="246">
        <v>0</v>
      </c>
      <c r="S137" s="28" t="str">
        <f>CONCATENATE(SUMIF($E$6:$E137,E137,$R$6:$R$370)," / ",SUMIF($E$6:$E$370,E137,$R$6:$R$370))</f>
        <v>0 / 0</v>
      </c>
      <c r="T137" s="28" t="str">
        <f>CONCATENATE(SUMIF($F$6:$F137,$F137,$R$6:$R$370)," / ",SUMIF($F$6:$F$370,$F137,$R$6:$R$370))</f>
        <v>0 / 0</v>
      </c>
      <c r="U137" s="28" t="str">
        <f>CONCATENATE(SUM($R$6:$R137)," / ",SUM($R$6:$R$370))</f>
        <v>0 / 0</v>
      </c>
    </row>
    <row r="138" spans="2:21" ht="13" thickBot="1">
      <c r="B138" s="28"/>
      <c r="C138" s="237">
        <f t="shared" si="20"/>
        <v>42502</v>
      </c>
      <c r="D138" s="35" t="str">
        <f t="shared" si="16"/>
        <v>Jeudi</v>
      </c>
      <c r="E138" s="124">
        <f t="shared" si="17"/>
        <v>20</v>
      </c>
      <c r="F138" s="124">
        <f t="shared" si="18"/>
        <v>5</v>
      </c>
      <c r="G138" s="27"/>
      <c r="H138" s="28" t="str">
        <f>CONCATENATE(SUMIF($E$6:$E138,$E138,$K$6:$K$370)," / ",SUMIF($E$6:$E$370,$E138,$K$6:$K502))</f>
        <v>0 / 0</v>
      </c>
      <c r="I138" s="28" t="str">
        <f>CONCATENATE(SUMIF($F$6:$F138,$F138,$K$6:$K502)," / ",SUMIF($F$6:$F$370,$F138,$K$6:$K502))</f>
        <v>0 / 0</v>
      </c>
      <c r="J138" s="28" t="str">
        <f>CONCATENATE(SUM($K$6:$K138)," / ",SUM($K$6:$K$370))</f>
        <v>180,895 / 180,895</v>
      </c>
      <c r="K138" s="245">
        <v>0</v>
      </c>
      <c r="L138" s="28"/>
      <c r="M138" s="28" t="str">
        <f>CONCATENATE(SUMIF($E$6:$E138,$E138,$P$6:$P$370)," / ",SUMIF($E$6:$E$370,$E138,$P$6:$P$370))</f>
        <v>0 / 0</v>
      </c>
      <c r="N138" s="28" t="str">
        <f ca="1">CONCATENATE(SUMIF($F$6:$F138,$F138,$P138)," / ",SUMIF($F$6:$F$370,$F138,$P$6:$P$370))</f>
        <v>0 / 0</v>
      </c>
      <c r="O138" s="28" t="str">
        <f t="shared" si="19"/>
        <v>0 / 30</v>
      </c>
      <c r="P138" s="245">
        <v>0</v>
      </c>
      <c r="Q138" s="28"/>
      <c r="R138" s="246">
        <v>0</v>
      </c>
      <c r="S138" s="28" t="str">
        <f>CONCATENATE(SUMIF($E$6:$E138,E138,$R$6:$R$370)," / ",SUMIF($E$6:$E$370,E138,$R$6:$R$370))</f>
        <v>0 / 0</v>
      </c>
      <c r="T138" s="28" t="str">
        <f>CONCATENATE(SUMIF($F$6:$F138,$F138,$R$6:$R$370)," / ",SUMIF($F$6:$F$370,$F138,$R$6:$R$370))</f>
        <v>0 / 0</v>
      </c>
      <c r="U138" s="28" t="str">
        <f>CONCATENATE(SUM($R$6:$R138)," / ",SUM($R$6:$R$370))</f>
        <v>0 / 0</v>
      </c>
    </row>
    <row r="139" spans="2:21" ht="13" thickBot="1">
      <c r="B139" s="28"/>
      <c r="C139" s="237">
        <f t="shared" si="20"/>
        <v>42503</v>
      </c>
      <c r="D139" s="35" t="str">
        <f t="shared" si="16"/>
        <v>Vendredi</v>
      </c>
      <c r="E139" s="124">
        <f t="shared" si="17"/>
        <v>20</v>
      </c>
      <c r="F139" s="124">
        <f t="shared" si="18"/>
        <v>5</v>
      </c>
      <c r="G139" s="27"/>
      <c r="H139" s="28" t="str">
        <f>CONCATENATE(SUMIF($E$6:$E139,$E139,$K$6:$K$370)," / ",SUMIF($E$6:$E$370,$E139,$K$6:$K503))</f>
        <v>0 / 0</v>
      </c>
      <c r="I139" s="28" t="str">
        <f>CONCATENATE(SUMIF($F$6:$F139,$F139,$K$6:$K503)," / ",SUMIF($F$6:$F$370,$F139,$K$6:$K503))</f>
        <v>0 / 0</v>
      </c>
      <c r="J139" s="28" t="str">
        <f>CONCATENATE(SUM($K$6:$K139)," / ",SUM($K$6:$K$370))</f>
        <v>180,895 / 180,895</v>
      </c>
      <c r="K139" s="245">
        <v>0</v>
      </c>
      <c r="L139" s="28"/>
      <c r="M139" s="28" t="str">
        <f>CONCATENATE(SUMIF($E$6:$E139,$E139,$P$6:$P$370)," / ",SUMIF($E$6:$E$370,$E139,$P$6:$P$370))</f>
        <v>0 / 0</v>
      </c>
      <c r="N139" s="28" t="str">
        <f ca="1">CONCATENATE(SUMIF($F$6:$F139,$F139,$P139)," / ",SUMIF($F$6:$F$370,$F139,$P$6:$P$370))</f>
        <v>0 / 0</v>
      </c>
      <c r="O139" s="28" t="str">
        <f t="shared" si="19"/>
        <v>0 / 30</v>
      </c>
      <c r="P139" s="245">
        <v>0</v>
      </c>
      <c r="Q139" s="28"/>
      <c r="R139" s="246">
        <v>0</v>
      </c>
      <c r="S139" s="28" t="str">
        <f>CONCATENATE(SUMIF($E$6:$E139,E139,$R$6:$R$370)," / ",SUMIF($E$6:$E$370,E139,$R$6:$R$370))</f>
        <v>0 / 0</v>
      </c>
      <c r="T139" s="28" t="str">
        <f>CONCATENATE(SUMIF($F$6:$F139,$F139,$R$6:$R$370)," / ",SUMIF($F$6:$F$370,$F139,$R$6:$R$370))</f>
        <v>0 / 0</v>
      </c>
      <c r="U139" s="28" t="str">
        <f>CONCATENATE(SUM($R$6:$R139)," / ",SUM($R$6:$R$370))</f>
        <v>0 / 0</v>
      </c>
    </row>
    <row r="140" spans="2:21" ht="13" thickBot="1">
      <c r="B140" s="28"/>
      <c r="C140" s="237">
        <f t="shared" si="20"/>
        <v>42504</v>
      </c>
      <c r="D140" s="35" t="str">
        <f t="shared" si="16"/>
        <v>samedi</v>
      </c>
      <c r="E140" s="124">
        <f t="shared" si="17"/>
        <v>20</v>
      </c>
      <c r="F140" s="124">
        <f t="shared" si="18"/>
        <v>5</v>
      </c>
      <c r="G140" s="27"/>
      <c r="H140" s="28" t="str">
        <f>CONCATENATE(SUMIF($E$6:$E140,$E140,$K$6:$K$370)," / ",SUMIF($E$6:$E$370,$E140,$K$6:$K504))</f>
        <v>0 / 0</v>
      </c>
      <c r="I140" s="28" t="str">
        <f>CONCATENATE(SUMIF($F$6:$F140,$F140,$K$6:$K504)," / ",SUMIF($F$6:$F$370,$F140,$K$6:$K504))</f>
        <v>0 / 0</v>
      </c>
      <c r="J140" s="28" t="str">
        <f>CONCATENATE(SUM($K$6:$K140)," / ",SUM($K$6:$K$370))</f>
        <v>180,895 / 180,895</v>
      </c>
      <c r="K140" s="245">
        <v>0</v>
      </c>
      <c r="L140" s="28"/>
      <c r="M140" s="28" t="str">
        <f>CONCATENATE(SUMIF($E$6:$E140,$E140,$P$6:$P$370)," / ",SUMIF($E$6:$E$370,$E140,$P$6:$P$370))</f>
        <v>0 / 0</v>
      </c>
      <c r="N140" s="28" t="str">
        <f ca="1">CONCATENATE(SUMIF($F$6:$F140,$F140,$P140)," / ",SUMIF($F$6:$F$370,$F140,$P$6:$P$370))</f>
        <v>0 / 0</v>
      </c>
      <c r="O140" s="28" t="str">
        <f t="shared" si="19"/>
        <v>0 / 30</v>
      </c>
      <c r="P140" s="245">
        <v>0</v>
      </c>
      <c r="Q140" s="28"/>
      <c r="R140" s="246">
        <v>0</v>
      </c>
      <c r="S140" s="28" t="str">
        <f>CONCATENATE(SUMIF($E$6:$E140,E140,$R$6:$R$370)," / ",SUMIF($E$6:$E$370,E140,$R$6:$R$370))</f>
        <v>0 / 0</v>
      </c>
      <c r="T140" s="28" t="str">
        <f>CONCATENATE(SUMIF($F$6:$F140,$F140,$R$6:$R$370)," / ",SUMIF($F$6:$F$370,$F140,$R$6:$R$370))</f>
        <v>0 / 0</v>
      </c>
      <c r="U140" s="28" t="str">
        <f>CONCATENATE(SUM($R$6:$R140)," / ",SUM($R$6:$R$370))</f>
        <v>0 / 0</v>
      </c>
    </row>
    <row r="141" spans="2:21" ht="13" thickBot="1">
      <c r="B141" s="28"/>
      <c r="C141" s="237">
        <f t="shared" si="20"/>
        <v>42505</v>
      </c>
      <c r="D141" s="35" t="str">
        <f t="shared" si="16"/>
        <v>Dimanche</v>
      </c>
      <c r="E141" s="124">
        <f t="shared" si="17"/>
        <v>21</v>
      </c>
      <c r="F141" s="124">
        <f t="shared" si="18"/>
        <v>5</v>
      </c>
      <c r="G141" s="27"/>
      <c r="H141" s="28" t="str">
        <f>CONCATENATE(SUMIF($E$6:$E141,$E141,$K$6:$K$370)," / ",SUMIF($E$6:$E$370,$E141,$K$6:$K505))</f>
        <v>0 / 0</v>
      </c>
      <c r="I141" s="28" t="str">
        <f>CONCATENATE(SUMIF($F$6:$F141,$F141,$K$6:$K505)," / ",SUMIF($F$6:$F$370,$F141,$K$6:$K505))</f>
        <v>0 / 0</v>
      </c>
      <c r="J141" s="28" t="str">
        <f>CONCATENATE(SUM($K$6:$K141)," / ",SUM($K$6:$K$370))</f>
        <v>180,895 / 180,895</v>
      </c>
      <c r="K141" s="245">
        <v>0</v>
      </c>
      <c r="L141" s="28"/>
      <c r="M141" s="28" t="str">
        <f>CONCATENATE(SUMIF($E$6:$E141,$E141,$P$6:$P$370)," / ",SUMIF($E$6:$E$370,$E141,$P$6:$P$370))</f>
        <v>0 / 0</v>
      </c>
      <c r="N141" s="28" t="str">
        <f ca="1">CONCATENATE(SUMIF($F$6:$F141,$F141,$P141)," / ",SUMIF($F$6:$F$370,$F141,$P$6:$P$370))</f>
        <v>0 / 0</v>
      </c>
      <c r="O141" s="28" t="str">
        <f t="shared" si="19"/>
        <v>0 / 30</v>
      </c>
      <c r="P141" s="245">
        <v>0</v>
      </c>
      <c r="Q141" s="28"/>
      <c r="R141" s="246">
        <v>0</v>
      </c>
      <c r="S141" s="28" t="str">
        <f>CONCATENATE(SUMIF($E$6:$E141,E141,$R$6:$R$370)," / ",SUMIF($E$6:$E$370,E141,$R$6:$R$370))</f>
        <v>0 / 0</v>
      </c>
      <c r="T141" s="28" t="str">
        <f>CONCATENATE(SUMIF($F$6:$F141,$F141,$R$6:$R$370)," / ",SUMIF($F$6:$F$370,$F141,$R$6:$R$370))</f>
        <v>0 / 0</v>
      </c>
      <c r="U141" s="28" t="str">
        <f>CONCATENATE(SUM($R$6:$R141)," / ",SUM($R$6:$R$370))</f>
        <v>0 / 0</v>
      </c>
    </row>
    <row r="142" spans="2:21" ht="13" thickBot="1">
      <c r="B142" s="28"/>
      <c r="C142" s="237">
        <f t="shared" si="20"/>
        <v>42506</v>
      </c>
      <c r="D142" s="35" t="str">
        <f t="shared" si="16"/>
        <v>Lundi</v>
      </c>
      <c r="E142" s="124">
        <f t="shared" si="17"/>
        <v>21</v>
      </c>
      <c r="F142" s="124">
        <f t="shared" si="18"/>
        <v>5</v>
      </c>
      <c r="G142" s="27"/>
      <c r="H142" s="28" t="str">
        <f>CONCATENATE(SUMIF($E$6:$E142,$E142,$K$6:$K$370)," / ",SUMIF($E$6:$E$370,$E142,$K$6:$K506))</f>
        <v>0 / 0</v>
      </c>
      <c r="I142" s="28" t="str">
        <f>CONCATENATE(SUMIF($F$6:$F142,$F142,$K$6:$K506)," / ",SUMIF($F$6:$F$370,$F142,$K$6:$K506))</f>
        <v>0 / 0</v>
      </c>
      <c r="J142" s="28" t="str">
        <f>CONCATENATE(SUM($K$6:$K142)," / ",SUM($K$6:$K$370))</f>
        <v>180,895 / 180,895</v>
      </c>
      <c r="K142" s="245">
        <v>0</v>
      </c>
      <c r="L142" s="28"/>
      <c r="M142" s="28" t="str">
        <f>CONCATENATE(SUMIF($E$6:$E142,$E142,$P$6:$P$370)," / ",SUMIF($E$6:$E$370,$E142,$P$6:$P$370))</f>
        <v>0 / 0</v>
      </c>
      <c r="N142" s="28" t="str">
        <f ca="1">CONCATENATE(SUMIF($F$6:$F142,$F142,$P142)," / ",SUMIF($F$6:$F$370,$F142,$P$6:$P$370))</f>
        <v>0 / 0</v>
      </c>
      <c r="O142" s="28" t="str">
        <f t="shared" si="19"/>
        <v>0 / 30</v>
      </c>
      <c r="P142" s="245">
        <v>0</v>
      </c>
      <c r="Q142" s="28"/>
      <c r="R142" s="246">
        <v>0</v>
      </c>
      <c r="S142" s="28" t="str">
        <f>CONCATENATE(SUMIF($E$6:$E142,E142,$R$6:$R$370)," / ",SUMIF($E$6:$E$370,E142,$R$6:$R$370))</f>
        <v>0 / 0</v>
      </c>
      <c r="T142" s="28" t="str">
        <f>CONCATENATE(SUMIF($F$6:$F142,$F142,$R$6:$R$370)," / ",SUMIF($F$6:$F$370,$F142,$R$6:$R$370))</f>
        <v>0 / 0</v>
      </c>
      <c r="U142" s="28" t="str">
        <f>CONCATENATE(SUM($R$6:$R142)," / ",SUM($R$6:$R$370))</f>
        <v>0 / 0</v>
      </c>
    </row>
    <row r="143" spans="2:21" ht="13" thickBot="1">
      <c r="B143" s="28"/>
      <c r="C143" s="237">
        <f t="shared" si="20"/>
        <v>42507</v>
      </c>
      <c r="D143" s="35" t="str">
        <f t="shared" si="16"/>
        <v>Mardi</v>
      </c>
      <c r="E143" s="124">
        <f t="shared" si="17"/>
        <v>21</v>
      </c>
      <c r="F143" s="124">
        <f t="shared" si="18"/>
        <v>5</v>
      </c>
      <c r="G143" s="27"/>
      <c r="H143" s="28" t="str">
        <f>CONCATENATE(SUMIF($E$6:$E143,$E143,$K$6:$K$370)," / ",SUMIF($E$6:$E$370,$E143,$K$6:$K507))</f>
        <v>0 / 0</v>
      </c>
      <c r="I143" s="28" t="str">
        <f>CONCATENATE(SUMIF($F$6:$F143,$F143,$K$6:$K507)," / ",SUMIF($F$6:$F$370,$F143,$K$6:$K507))</f>
        <v>0 / 0</v>
      </c>
      <c r="J143" s="28" t="str">
        <f>CONCATENATE(SUM($K$6:$K143)," / ",SUM($K$6:$K$370))</f>
        <v>180,895 / 180,895</v>
      </c>
      <c r="K143" s="245">
        <v>0</v>
      </c>
      <c r="L143" s="28"/>
      <c r="M143" s="28" t="str">
        <f>CONCATENATE(SUMIF($E$6:$E143,$E143,$P$6:$P$370)," / ",SUMIF($E$6:$E$370,$E143,$P$6:$P$370))</f>
        <v>0 / 0</v>
      </c>
      <c r="N143" s="28" t="str">
        <f ca="1">CONCATENATE(SUMIF($F$6:$F143,$F143,$P143)," / ",SUMIF($F$6:$F$370,$F143,$P$6:$P$370))</f>
        <v>0 / 0</v>
      </c>
      <c r="O143" s="28" t="str">
        <f t="shared" si="19"/>
        <v>0 / 30</v>
      </c>
      <c r="P143" s="245">
        <v>0</v>
      </c>
      <c r="Q143" s="28"/>
      <c r="R143" s="246">
        <v>0</v>
      </c>
      <c r="S143" s="28" t="str">
        <f>CONCATENATE(SUMIF($E$6:$E143,E143,$R$6:$R$370)," / ",SUMIF($E$6:$E$370,E143,$R$6:$R$370))</f>
        <v>0 / 0</v>
      </c>
      <c r="T143" s="28" t="str">
        <f>CONCATENATE(SUMIF($F$6:$F143,$F143,$R$6:$R$370)," / ",SUMIF($F$6:$F$370,$F143,$R$6:$R$370))</f>
        <v>0 / 0</v>
      </c>
      <c r="U143" s="28" t="str">
        <f>CONCATENATE(SUM($R$6:$R143)," / ",SUM($R$6:$R$370))</f>
        <v>0 / 0</v>
      </c>
    </row>
    <row r="144" spans="2:21" ht="13" thickBot="1">
      <c r="B144" s="28"/>
      <c r="C144" s="237">
        <f t="shared" si="20"/>
        <v>42508</v>
      </c>
      <c r="D144" s="35" t="str">
        <f t="shared" si="16"/>
        <v>Mercredi</v>
      </c>
      <c r="E144" s="124">
        <f t="shared" si="17"/>
        <v>21</v>
      </c>
      <c r="F144" s="124">
        <f t="shared" si="18"/>
        <v>5</v>
      </c>
      <c r="G144" s="27"/>
      <c r="H144" s="28" t="str">
        <f>CONCATENATE(SUMIF($E$6:$E144,$E144,$K$6:$K$370)," / ",SUMIF($E$6:$E$370,$E144,$K$6:$K508))</f>
        <v>0 / 0</v>
      </c>
      <c r="I144" s="28" t="str">
        <f>CONCATENATE(SUMIF($F$6:$F144,$F144,$K$6:$K508)," / ",SUMIF($F$6:$F$370,$F144,$K$6:$K508))</f>
        <v>0 / 0</v>
      </c>
      <c r="J144" s="28" t="str">
        <f>CONCATENATE(SUM($K$6:$K144)," / ",SUM($K$6:$K$370))</f>
        <v>180,895 / 180,895</v>
      </c>
      <c r="K144" s="245">
        <v>0</v>
      </c>
      <c r="L144" s="28"/>
      <c r="M144" s="28" t="str">
        <f>CONCATENATE(SUMIF($E$6:$E144,$E144,$P$6:$P$370)," / ",SUMIF($E$6:$E$370,$E144,$P$6:$P$370))</f>
        <v>0 / 0</v>
      </c>
      <c r="N144" s="28" t="str">
        <f ca="1">CONCATENATE(SUMIF($F$6:$F144,$F144,$P144)," / ",SUMIF($F$6:$F$370,$F144,$P$6:$P$370))</f>
        <v>0 / 0</v>
      </c>
      <c r="O144" s="28" t="str">
        <f t="shared" si="19"/>
        <v>0 / 30</v>
      </c>
      <c r="P144" s="245">
        <v>0</v>
      </c>
      <c r="Q144" s="28"/>
      <c r="R144" s="246">
        <v>0</v>
      </c>
      <c r="S144" s="28" t="str">
        <f>CONCATENATE(SUMIF($E$6:$E144,E144,$R$6:$R$370)," / ",SUMIF($E$6:$E$370,E144,$R$6:$R$370))</f>
        <v>0 / 0</v>
      </c>
      <c r="T144" s="28" t="str">
        <f>CONCATENATE(SUMIF($F$6:$F144,$F144,$R$6:$R$370)," / ",SUMIF($F$6:$F$370,$F144,$R$6:$R$370))</f>
        <v>0 / 0</v>
      </c>
      <c r="U144" s="28" t="str">
        <f>CONCATENATE(SUM($R$6:$R144)," / ",SUM($R$6:$R$370))</f>
        <v>0 / 0</v>
      </c>
    </row>
    <row r="145" spans="2:21" ht="13" thickBot="1">
      <c r="B145" s="28"/>
      <c r="C145" s="237">
        <f t="shared" si="20"/>
        <v>42509</v>
      </c>
      <c r="D145" s="35" t="str">
        <f t="shared" si="16"/>
        <v>Jeudi</v>
      </c>
      <c r="E145" s="124">
        <f t="shared" si="17"/>
        <v>21</v>
      </c>
      <c r="F145" s="124">
        <f t="shared" si="18"/>
        <v>5</v>
      </c>
      <c r="G145" s="27"/>
      <c r="H145" s="28" t="str">
        <f>CONCATENATE(SUMIF($E$6:$E145,$E145,$K$6:$K$370)," / ",SUMIF($E$6:$E$370,$E145,$K$6:$K509))</f>
        <v>0 / 0</v>
      </c>
      <c r="I145" s="28" t="str">
        <f>CONCATENATE(SUMIF($F$6:$F145,$F145,$K$6:$K509)," / ",SUMIF($F$6:$F$370,$F145,$K$6:$K509))</f>
        <v>0 / 0</v>
      </c>
      <c r="J145" s="28" t="str">
        <f>CONCATENATE(SUM($K$6:$K145)," / ",SUM($K$6:$K$370))</f>
        <v>180,895 / 180,895</v>
      </c>
      <c r="K145" s="245">
        <v>0</v>
      </c>
      <c r="L145" s="28"/>
      <c r="M145" s="28" t="str">
        <f>CONCATENATE(SUMIF($E$6:$E145,$E145,$P$6:$P$370)," / ",SUMIF($E$6:$E$370,$E145,$P$6:$P$370))</f>
        <v>0 / 0</v>
      </c>
      <c r="N145" s="28" t="str">
        <f ca="1">CONCATENATE(SUMIF($F$6:$F145,$F145,$P145)," / ",SUMIF($F$6:$F$370,$F145,$P$6:$P$370))</f>
        <v>0 / 0</v>
      </c>
      <c r="O145" s="28" t="str">
        <f t="shared" si="19"/>
        <v>0 / 30</v>
      </c>
      <c r="P145" s="245">
        <v>0</v>
      </c>
      <c r="Q145" s="28"/>
      <c r="R145" s="246">
        <v>0</v>
      </c>
      <c r="S145" s="28" t="str">
        <f>CONCATENATE(SUMIF($E$6:$E145,E145,$R$6:$R$370)," / ",SUMIF($E$6:$E$370,E145,$R$6:$R$370))</f>
        <v>0 / 0</v>
      </c>
      <c r="T145" s="28" t="str">
        <f>CONCATENATE(SUMIF($F$6:$F145,$F145,$R$6:$R$370)," / ",SUMIF($F$6:$F$370,$F145,$R$6:$R$370))</f>
        <v>0 / 0</v>
      </c>
      <c r="U145" s="28" t="str">
        <f>CONCATENATE(SUM($R$6:$R145)," / ",SUM($R$6:$R$370))</f>
        <v>0 / 0</v>
      </c>
    </row>
    <row r="146" spans="2:21" ht="13" thickBot="1">
      <c r="B146" s="28"/>
      <c r="C146" s="237">
        <f t="shared" si="20"/>
        <v>42510</v>
      </c>
      <c r="D146" s="35" t="str">
        <f t="shared" si="16"/>
        <v>Vendredi</v>
      </c>
      <c r="E146" s="124">
        <f t="shared" si="17"/>
        <v>21</v>
      </c>
      <c r="F146" s="124">
        <f t="shared" si="18"/>
        <v>5</v>
      </c>
      <c r="G146" s="27"/>
      <c r="H146" s="28" t="str">
        <f>CONCATENATE(SUMIF($E$6:$E146,$E146,$K$6:$K$370)," / ",SUMIF($E$6:$E$370,$E146,$K$6:$K510))</f>
        <v>0 / 0</v>
      </c>
      <c r="I146" s="28" t="str">
        <f>CONCATENATE(SUMIF($F$6:$F146,$F146,$K$6:$K510)," / ",SUMIF($F$6:$F$370,$F146,$K$6:$K510))</f>
        <v>0 / 0</v>
      </c>
      <c r="J146" s="28" t="str">
        <f>CONCATENATE(SUM($K$6:$K146)," / ",SUM($K$6:$K$370))</f>
        <v>180,895 / 180,895</v>
      </c>
      <c r="K146" s="245">
        <v>0</v>
      </c>
      <c r="L146" s="28"/>
      <c r="M146" s="28" t="str">
        <f>CONCATENATE(SUMIF($E$6:$E146,$E146,$P$6:$P$370)," / ",SUMIF($E$6:$E$370,$E146,$P$6:$P$370))</f>
        <v>0 / 0</v>
      </c>
      <c r="N146" s="28" t="str">
        <f ca="1">CONCATENATE(SUMIF($F$6:$F146,$F146,$P146)," / ",SUMIF($F$6:$F$370,$F146,$P$6:$P$370))</f>
        <v>0 / 0</v>
      </c>
      <c r="O146" s="28" t="str">
        <f t="shared" si="19"/>
        <v>0 / 30</v>
      </c>
      <c r="P146" s="245">
        <v>0</v>
      </c>
      <c r="Q146" s="28"/>
      <c r="R146" s="246">
        <v>0</v>
      </c>
      <c r="S146" s="28" t="str">
        <f>CONCATENATE(SUMIF($E$6:$E146,E146,$R$6:$R$370)," / ",SUMIF($E$6:$E$370,E146,$R$6:$R$370))</f>
        <v>0 / 0</v>
      </c>
      <c r="T146" s="28" t="str">
        <f>CONCATENATE(SUMIF($F$6:$F146,$F146,$R$6:$R$370)," / ",SUMIF($F$6:$F$370,$F146,$R$6:$R$370))</f>
        <v>0 / 0</v>
      </c>
      <c r="U146" s="28" t="str">
        <f>CONCATENATE(SUM($R$6:$R146)," / ",SUM($R$6:$R$370))</f>
        <v>0 / 0</v>
      </c>
    </row>
    <row r="147" spans="2:21" ht="13" thickBot="1">
      <c r="B147" s="28"/>
      <c r="C147" s="237">
        <f t="shared" si="20"/>
        <v>42511</v>
      </c>
      <c r="D147" s="35" t="str">
        <f t="shared" si="16"/>
        <v>samedi</v>
      </c>
      <c r="E147" s="124">
        <f t="shared" si="17"/>
        <v>21</v>
      </c>
      <c r="F147" s="124">
        <f t="shared" si="18"/>
        <v>5</v>
      </c>
      <c r="G147" s="27"/>
      <c r="H147" s="28" t="str">
        <f>CONCATENATE(SUMIF($E$6:$E147,$E147,$K$6:$K$370)," / ",SUMIF($E$6:$E$370,$E147,$K$6:$K511))</f>
        <v>0 / 0</v>
      </c>
      <c r="I147" s="28" t="str">
        <f>CONCATENATE(SUMIF($F$6:$F147,$F147,$K$6:$K511)," / ",SUMIF($F$6:$F$370,$F147,$K$6:$K511))</f>
        <v>0 / 0</v>
      </c>
      <c r="J147" s="28" t="str">
        <f>CONCATENATE(SUM($K$6:$K147)," / ",SUM($K$6:$K$370))</f>
        <v>180,895 / 180,895</v>
      </c>
      <c r="K147" s="245">
        <v>0</v>
      </c>
      <c r="L147" s="28"/>
      <c r="M147" s="28" t="str">
        <f>CONCATENATE(SUMIF($E$6:$E147,$E147,$P$6:$P$370)," / ",SUMIF($E$6:$E$370,$E147,$P$6:$P$370))</f>
        <v>0 / 0</v>
      </c>
      <c r="N147" s="28" t="str">
        <f ca="1">CONCATENATE(SUMIF($F$6:$F147,$F147,$P147)," / ",SUMIF($F$6:$F$370,$F147,$P$6:$P$370))</f>
        <v>0 / 0</v>
      </c>
      <c r="O147" s="28" t="str">
        <f t="shared" si="19"/>
        <v>0 / 30</v>
      </c>
      <c r="P147" s="245">
        <v>0</v>
      </c>
      <c r="Q147" s="28"/>
      <c r="R147" s="246">
        <v>0</v>
      </c>
      <c r="S147" s="28" t="str">
        <f>CONCATENATE(SUMIF($E$6:$E147,E147,$R$6:$R$370)," / ",SUMIF($E$6:$E$370,E147,$R$6:$R$370))</f>
        <v>0 / 0</v>
      </c>
      <c r="T147" s="28" t="str">
        <f>CONCATENATE(SUMIF($F$6:$F147,$F147,$R$6:$R$370)," / ",SUMIF($F$6:$F$370,$F147,$R$6:$R$370))</f>
        <v>0 / 0</v>
      </c>
      <c r="U147" s="28" t="str">
        <f>CONCATENATE(SUM($R$6:$R147)," / ",SUM($R$6:$R$370))</f>
        <v>0 / 0</v>
      </c>
    </row>
    <row r="148" spans="2:21" ht="13" thickBot="1">
      <c r="B148" s="28"/>
      <c r="C148" s="237">
        <f t="shared" si="20"/>
        <v>42512</v>
      </c>
      <c r="D148" s="35" t="str">
        <f t="shared" si="16"/>
        <v>Dimanche</v>
      </c>
      <c r="E148" s="124">
        <f t="shared" si="17"/>
        <v>22</v>
      </c>
      <c r="F148" s="124">
        <f t="shared" si="18"/>
        <v>5</v>
      </c>
      <c r="G148" s="27"/>
      <c r="H148" s="28" t="str">
        <f>CONCATENATE(SUMIF($E$6:$E148,$E148,$K$6:$K$370)," / ",SUMIF($E$6:$E$370,$E148,$K$6:$K512))</f>
        <v>0 / 0</v>
      </c>
      <c r="I148" s="28" t="str">
        <f>CONCATENATE(SUMIF($F$6:$F148,$F148,$K$6:$K512)," / ",SUMIF($F$6:$F$370,$F148,$K$6:$K512))</f>
        <v>0 / 0</v>
      </c>
      <c r="J148" s="28" t="str">
        <f>CONCATENATE(SUM($K$6:$K148)," / ",SUM($K$6:$K$370))</f>
        <v>180,895 / 180,895</v>
      </c>
      <c r="K148" s="245">
        <v>0</v>
      </c>
      <c r="L148" s="28"/>
      <c r="M148" s="28" t="str">
        <f>CONCATENATE(SUMIF($E$6:$E148,$E148,$P$6:$P$370)," / ",SUMIF($E$6:$E$370,$E148,$P$6:$P$370))</f>
        <v>0 / 0</v>
      </c>
      <c r="N148" s="28" t="str">
        <f ca="1">CONCATENATE(SUMIF($F$6:$F148,$F148,$P148)," / ",SUMIF($F$6:$F$370,$F148,$P$6:$P$370))</f>
        <v>0 / 0</v>
      </c>
      <c r="O148" s="28" t="str">
        <f t="shared" si="19"/>
        <v>0 / 30</v>
      </c>
      <c r="P148" s="245">
        <v>0</v>
      </c>
      <c r="Q148" s="28"/>
      <c r="R148" s="246">
        <v>0</v>
      </c>
      <c r="S148" s="28" t="str">
        <f>CONCATENATE(SUMIF($E$6:$E148,E148,$R$6:$R$370)," / ",SUMIF($E$6:$E$370,E148,$R$6:$R$370))</f>
        <v>0 / 0</v>
      </c>
      <c r="T148" s="28" t="str">
        <f>CONCATENATE(SUMIF($F$6:$F148,$F148,$R$6:$R$370)," / ",SUMIF($F$6:$F$370,$F148,$R$6:$R$370))</f>
        <v>0 / 0</v>
      </c>
      <c r="U148" s="28" t="str">
        <f>CONCATENATE(SUM($R$6:$R148)," / ",SUM($R$6:$R$370))</f>
        <v>0 / 0</v>
      </c>
    </row>
    <row r="149" spans="2:21" ht="13" thickBot="1">
      <c r="B149" s="28"/>
      <c r="C149" s="237">
        <f t="shared" si="20"/>
        <v>42513</v>
      </c>
      <c r="D149" s="35" t="str">
        <f t="shared" si="16"/>
        <v>Lundi</v>
      </c>
      <c r="E149" s="124">
        <f t="shared" si="17"/>
        <v>22</v>
      </c>
      <c r="F149" s="124">
        <f t="shared" si="18"/>
        <v>5</v>
      </c>
      <c r="G149" s="27"/>
      <c r="H149" s="28" t="str">
        <f>CONCATENATE(SUMIF($E$6:$E149,$E149,$K$6:$K$370)," / ",SUMIF($E$6:$E$370,$E149,$K$6:$K513))</f>
        <v>0 / 0</v>
      </c>
      <c r="I149" s="28" t="str">
        <f>CONCATENATE(SUMIF($F$6:$F149,$F149,$K$6:$K513)," / ",SUMIF($F$6:$F$370,$F149,$K$6:$K513))</f>
        <v>0 / 0</v>
      </c>
      <c r="J149" s="28" t="str">
        <f>CONCATENATE(SUM($K$6:$K149)," / ",SUM($K$6:$K$370))</f>
        <v>180,895 / 180,895</v>
      </c>
      <c r="K149" s="245">
        <v>0</v>
      </c>
      <c r="L149" s="28"/>
      <c r="M149" s="28" t="str">
        <f>CONCATENATE(SUMIF($E$6:$E149,$E149,$P$6:$P$370)," / ",SUMIF($E$6:$E$370,$E149,$P$6:$P$370))</f>
        <v>0 / 0</v>
      </c>
      <c r="N149" s="28" t="str">
        <f ca="1">CONCATENATE(SUMIF($F$6:$F149,$F149,$P149)," / ",SUMIF($F$6:$F$370,$F149,$P$6:$P$370))</f>
        <v>0 / 0</v>
      </c>
      <c r="O149" s="28" t="str">
        <f t="shared" si="19"/>
        <v>0 / 30</v>
      </c>
      <c r="P149" s="245">
        <v>0</v>
      </c>
      <c r="Q149" s="28"/>
      <c r="R149" s="246">
        <v>0</v>
      </c>
      <c r="S149" s="28" t="str">
        <f>CONCATENATE(SUMIF($E$6:$E149,E149,$R$6:$R$370)," / ",SUMIF($E$6:$E$370,E149,$R$6:$R$370))</f>
        <v>0 / 0</v>
      </c>
      <c r="T149" s="28" t="str">
        <f>CONCATENATE(SUMIF($F$6:$F149,$F149,$R$6:$R$370)," / ",SUMIF($F$6:$F$370,$F149,$R$6:$R$370))</f>
        <v>0 / 0</v>
      </c>
      <c r="U149" s="28" t="str">
        <f>CONCATENATE(SUM($R$6:$R149)," / ",SUM($R$6:$R$370))</f>
        <v>0 / 0</v>
      </c>
    </row>
    <row r="150" spans="2:21" ht="13" thickBot="1">
      <c r="B150" s="28"/>
      <c r="C150" s="237">
        <f t="shared" si="20"/>
        <v>42514</v>
      </c>
      <c r="D150" s="35" t="str">
        <f t="shared" si="16"/>
        <v>Mardi</v>
      </c>
      <c r="E150" s="124">
        <f t="shared" si="17"/>
        <v>22</v>
      </c>
      <c r="F150" s="124">
        <f t="shared" si="18"/>
        <v>5</v>
      </c>
      <c r="G150" s="27"/>
      <c r="H150" s="28" t="str">
        <f>CONCATENATE(SUMIF($E$6:$E150,$E150,$K$6:$K$370)," / ",SUMIF($E$6:$E$370,$E150,$K$6:$K514))</f>
        <v>0 / 0</v>
      </c>
      <c r="I150" s="28" t="str">
        <f>CONCATENATE(SUMIF($F$6:$F150,$F150,$K$6:$K514)," / ",SUMIF($F$6:$F$370,$F150,$K$6:$K514))</f>
        <v>0 / 0</v>
      </c>
      <c r="J150" s="28" t="str">
        <f>CONCATENATE(SUM($K$6:$K150)," / ",SUM($K$6:$K$370))</f>
        <v>180,895 / 180,895</v>
      </c>
      <c r="K150" s="245">
        <v>0</v>
      </c>
      <c r="L150" s="28"/>
      <c r="M150" s="28" t="str">
        <f>CONCATENATE(SUMIF($E$6:$E150,$E150,$P$6:$P$370)," / ",SUMIF($E$6:$E$370,$E150,$P$6:$P$370))</f>
        <v>0 / 0</v>
      </c>
      <c r="N150" s="28" t="str">
        <f ca="1">CONCATENATE(SUMIF($F$6:$F150,$F150,$P150)," / ",SUMIF($F$6:$F$370,$F150,$P$6:$P$370))</f>
        <v>0 / 0</v>
      </c>
      <c r="O150" s="28" t="str">
        <f t="shared" si="19"/>
        <v>0 / 30</v>
      </c>
      <c r="P150" s="245">
        <v>0</v>
      </c>
      <c r="Q150" s="28"/>
      <c r="R150" s="246">
        <v>0</v>
      </c>
      <c r="S150" s="28" t="str">
        <f>CONCATENATE(SUMIF($E$6:$E150,E150,$R$6:$R$370)," / ",SUMIF($E$6:$E$370,E150,$R$6:$R$370))</f>
        <v>0 / 0</v>
      </c>
      <c r="T150" s="28" t="str">
        <f>CONCATENATE(SUMIF($F$6:$F150,$F150,$R$6:$R$370)," / ",SUMIF($F$6:$F$370,$F150,$R$6:$R$370))</f>
        <v>0 / 0</v>
      </c>
      <c r="U150" s="28" t="str">
        <f>CONCATENATE(SUM($R$6:$R150)," / ",SUM($R$6:$R$370))</f>
        <v>0 / 0</v>
      </c>
    </row>
    <row r="151" spans="2:21" ht="13" thickBot="1">
      <c r="B151" s="28"/>
      <c r="C151" s="237">
        <f t="shared" si="20"/>
        <v>42515</v>
      </c>
      <c r="D151" s="35" t="str">
        <f t="shared" si="16"/>
        <v>Mercredi</v>
      </c>
      <c r="E151" s="124">
        <f t="shared" si="17"/>
        <v>22</v>
      </c>
      <c r="F151" s="124">
        <f t="shared" si="18"/>
        <v>5</v>
      </c>
      <c r="G151" s="27"/>
      <c r="H151" s="28" t="str">
        <f>CONCATENATE(SUMIF($E$6:$E151,$E151,$K$6:$K$370)," / ",SUMIF($E$6:$E$370,$E151,$K$6:$K515))</f>
        <v>0 / 0</v>
      </c>
      <c r="I151" s="28" t="str">
        <f>CONCATENATE(SUMIF($F$6:$F151,$F151,$K$6:$K515)," / ",SUMIF($F$6:$F$370,$F151,$K$6:$K515))</f>
        <v>0 / 0</v>
      </c>
      <c r="J151" s="28" t="str">
        <f>CONCATENATE(SUM($K$6:$K151)," / ",SUM($K$6:$K$370))</f>
        <v>180,895 / 180,895</v>
      </c>
      <c r="K151" s="245">
        <v>0</v>
      </c>
      <c r="L151" s="28"/>
      <c r="M151" s="28" t="str">
        <f>CONCATENATE(SUMIF($E$6:$E151,$E151,$P$6:$P$370)," / ",SUMIF($E$6:$E$370,$E151,$P$6:$P$370))</f>
        <v>0 / 0</v>
      </c>
      <c r="N151" s="28" t="str">
        <f ca="1">CONCATENATE(SUMIF($F$6:$F151,$F151,$P151)," / ",SUMIF($F$6:$F$370,$F151,$P$6:$P$370))</f>
        <v>0 / 0</v>
      </c>
      <c r="O151" s="28" t="str">
        <f t="shared" si="19"/>
        <v>0 / 30</v>
      </c>
      <c r="P151" s="245">
        <v>0</v>
      </c>
      <c r="Q151" s="28"/>
      <c r="R151" s="246">
        <v>0</v>
      </c>
      <c r="S151" s="28" t="str">
        <f>CONCATENATE(SUMIF($E$6:$E151,E151,$R$6:$R$370)," / ",SUMIF($E$6:$E$370,E151,$R$6:$R$370))</f>
        <v>0 / 0</v>
      </c>
      <c r="T151" s="28" t="str">
        <f>CONCATENATE(SUMIF($F$6:$F151,$F151,$R$6:$R$370)," / ",SUMIF($F$6:$F$370,$F151,$R$6:$R$370))</f>
        <v>0 / 0</v>
      </c>
      <c r="U151" s="28" t="str">
        <f>CONCATENATE(SUM($R$6:$R151)," / ",SUM($R$6:$R$370))</f>
        <v>0 / 0</v>
      </c>
    </row>
    <row r="152" spans="2:21" ht="13" thickBot="1">
      <c r="B152" s="28"/>
      <c r="C152" s="237">
        <f t="shared" si="20"/>
        <v>42516</v>
      </c>
      <c r="D152" s="35" t="str">
        <f t="shared" si="16"/>
        <v>Jeudi</v>
      </c>
      <c r="E152" s="124">
        <f t="shared" si="17"/>
        <v>22</v>
      </c>
      <c r="F152" s="124">
        <f t="shared" si="18"/>
        <v>5</v>
      </c>
      <c r="G152" s="27"/>
      <c r="H152" s="28" t="str">
        <f>CONCATENATE(SUMIF($E$6:$E152,$E152,$K$6:$K$370)," / ",SUMIF($E$6:$E$370,$E152,$K$6:$K516))</f>
        <v>0 / 0</v>
      </c>
      <c r="I152" s="28" t="str">
        <f>CONCATENATE(SUMIF($F$6:$F152,$F152,$K$6:$K516)," / ",SUMIF($F$6:$F$370,$F152,$K$6:$K516))</f>
        <v>0 / 0</v>
      </c>
      <c r="J152" s="28" t="str">
        <f>CONCATENATE(SUM($K$6:$K152)," / ",SUM($K$6:$K$370))</f>
        <v>180,895 / 180,895</v>
      </c>
      <c r="K152" s="245">
        <v>0</v>
      </c>
      <c r="L152" s="28"/>
      <c r="M152" s="28" t="str">
        <f>CONCATENATE(SUMIF($E$6:$E152,$E152,$P$6:$P$370)," / ",SUMIF($E$6:$E$370,$E152,$P$6:$P$370))</f>
        <v>0 / 0</v>
      </c>
      <c r="N152" s="28" t="str">
        <f ca="1">CONCATENATE(SUMIF($F$6:$F152,$F152,$P152)," / ",SUMIF($F$6:$F$370,$F152,$P$6:$P$370))</f>
        <v>0 / 0</v>
      </c>
      <c r="O152" s="28" t="str">
        <f t="shared" si="19"/>
        <v>0 / 30</v>
      </c>
      <c r="P152" s="245">
        <v>0</v>
      </c>
      <c r="Q152" s="28"/>
      <c r="R152" s="246">
        <v>0</v>
      </c>
      <c r="S152" s="28" t="str">
        <f>CONCATENATE(SUMIF($E$6:$E152,E152,$R$6:$R$370)," / ",SUMIF($E$6:$E$370,E152,$R$6:$R$370))</f>
        <v>0 / 0</v>
      </c>
      <c r="T152" s="28" t="str">
        <f>CONCATENATE(SUMIF($F$6:$F152,$F152,$R$6:$R$370)," / ",SUMIF($F$6:$F$370,$F152,$R$6:$R$370))</f>
        <v>0 / 0</v>
      </c>
      <c r="U152" s="28" t="str">
        <f>CONCATENATE(SUM($R$6:$R152)," / ",SUM($R$6:$R$370))</f>
        <v>0 / 0</v>
      </c>
    </row>
    <row r="153" spans="2:21" ht="13" thickBot="1">
      <c r="B153" s="28"/>
      <c r="C153" s="237">
        <f t="shared" si="20"/>
        <v>42517</v>
      </c>
      <c r="D153" s="35" t="str">
        <f t="shared" si="16"/>
        <v>Vendredi</v>
      </c>
      <c r="E153" s="124">
        <f t="shared" si="17"/>
        <v>22</v>
      </c>
      <c r="F153" s="124">
        <f t="shared" si="18"/>
        <v>5</v>
      </c>
      <c r="G153" s="27"/>
      <c r="H153" s="28" t="str">
        <f>CONCATENATE(SUMIF($E$6:$E153,$E153,$K$6:$K$370)," / ",SUMIF($E$6:$E$370,$E153,$K$6:$K517))</f>
        <v>0 / 0</v>
      </c>
      <c r="I153" s="28" t="str">
        <f>CONCATENATE(SUMIF($F$6:$F153,$F153,$K$6:$K517)," / ",SUMIF($F$6:$F$370,$F153,$K$6:$K517))</f>
        <v>0 / 0</v>
      </c>
      <c r="J153" s="28" t="str">
        <f>CONCATENATE(SUM($K$6:$K153)," / ",SUM($K$6:$K$370))</f>
        <v>180,895 / 180,895</v>
      </c>
      <c r="K153" s="245">
        <v>0</v>
      </c>
      <c r="L153" s="28"/>
      <c r="M153" s="28" t="str">
        <f>CONCATENATE(SUMIF($E$6:$E153,$E153,$P$6:$P$370)," / ",SUMIF($E$6:$E$370,$E153,$P$6:$P$370))</f>
        <v>0 / 0</v>
      </c>
      <c r="N153" s="28" t="str">
        <f ca="1">CONCATENATE(SUMIF($F$6:$F153,$F153,$P153)," / ",SUMIF($F$6:$F$370,$F153,$P$6:$P$370))</f>
        <v>0 / 0</v>
      </c>
      <c r="O153" s="28" t="str">
        <f t="shared" si="19"/>
        <v>0 / 30</v>
      </c>
      <c r="P153" s="245">
        <v>0</v>
      </c>
      <c r="Q153" s="28"/>
      <c r="R153" s="246">
        <v>0</v>
      </c>
      <c r="S153" s="28" t="str">
        <f>CONCATENATE(SUMIF($E$6:$E153,E153,$R$6:$R$370)," / ",SUMIF($E$6:$E$370,E153,$R$6:$R$370))</f>
        <v>0 / 0</v>
      </c>
      <c r="T153" s="28" t="str">
        <f>CONCATENATE(SUMIF($F$6:$F153,$F153,$R$6:$R$370)," / ",SUMIF($F$6:$F$370,$F153,$R$6:$R$370))</f>
        <v>0 / 0</v>
      </c>
      <c r="U153" s="28" t="str">
        <f>CONCATENATE(SUM($R$6:$R153)," / ",SUM($R$6:$R$370))</f>
        <v>0 / 0</v>
      </c>
    </row>
    <row r="154" spans="2:21" ht="13" thickBot="1">
      <c r="B154" s="28"/>
      <c r="C154" s="237">
        <f t="shared" si="20"/>
        <v>42518</v>
      </c>
      <c r="D154" s="35" t="str">
        <f t="shared" si="16"/>
        <v>samedi</v>
      </c>
      <c r="E154" s="124">
        <f t="shared" si="17"/>
        <v>22</v>
      </c>
      <c r="F154" s="124">
        <f t="shared" si="18"/>
        <v>5</v>
      </c>
      <c r="G154" s="27" t="s">
        <v>600</v>
      </c>
      <c r="H154" s="28" t="str">
        <f>CONCATENATE(SUMIF($E$6:$E154,$E154,$K$6:$K$370)," / ",SUMIF($E$6:$E$370,$E154,$K$6:$K518))</f>
        <v>0 / 0</v>
      </c>
      <c r="I154" s="28" t="str">
        <f>CONCATENATE(SUMIF($F$6:$F154,$F154,$K$6:$K518)," / ",SUMIF($F$6:$F$370,$F154,$K$6:$K518))</f>
        <v>0 / 0</v>
      </c>
      <c r="J154" s="28" t="str">
        <f>CONCATENATE(SUM($K$6:$K154)," / ",SUM($K$6:$K$370))</f>
        <v>180,895 / 180,895</v>
      </c>
      <c r="K154" s="245">
        <v>0</v>
      </c>
      <c r="L154" s="28"/>
      <c r="M154" s="28" t="str">
        <f>CONCATENATE(SUMIF($E$6:$E154,$E154,$P$6:$P$370)," / ",SUMIF($E$6:$E$370,$E154,$P$6:$P$370))</f>
        <v>0 / 0</v>
      </c>
      <c r="N154" s="28" t="str">
        <f ca="1">CONCATENATE(SUMIF($F$6:$F154,$F154,$P154)," / ",SUMIF($F$6:$F$370,$F154,$P$6:$P$370))</f>
        <v>0 / 0</v>
      </c>
      <c r="O154" s="28" t="str">
        <f t="shared" si="19"/>
        <v>0 / 30</v>
      </c>
      <c r="P154" s="245">
        <v>0</v>
      </c>
      <c r="Q154" s="28"/>
      <c r="R154" s="246">
        <v>0</v>
      </c>
      <c r="S154" s="28" t="str">
        <f>CONCATENATE(SUMIF($E$6:$E154,E154,$R$6:$R$370)," / ",SUMIF($E$6:$E$370,E154,$R$6:$R$370))</f>
        <v>0 / 0</v>
      </c>
      <c r="T154" s="28" t="str">
        <f>CONCATENATE(SUMIF($F$6:$F154,$F154,$R$6:$R$370)," / ",SUMIF($F$6:$F$370,$F154,$R$6:$R$370))</f>
        <v>0 / 0</v>
      </c>
      <c r="U154" s="28" t="str">
        <f>CONCATENATE(SUM($R$6:$R154)," / ",SUM($R$6:$R$370))</f>
        <v>0 / 0</v>
      </c>
    </row>
    <row r="155" spans="2:21" ht="13" thickBot="1">
      <c r="B155" s="28"/>
      <c r="C155" s="237">
        <f t="shared" si="20"/>
        <v>42519</v>
      </c>
      <c r="D155" s="35" t="str">
        <f t="shared" si="16"/>
        <v>Dimanche</v>
      </c>
      <c r="E155" s="124">
        <f t="shared" si="17"/>
        <v>23</v>
      </c>
      <c r="F155" s="124">
        <f t="shared" si="18"/>
        <v>5</v>
      </c>
      <c r="G155" s="27"/>
      <c r="H155" s="28" t="str">
        <f>CONCATENATE(SUMIF($E$6:$E155,$E155,$K$6:$K$370)," / ",SUMIF($E$6:$E$370,$E155,$K$6:$K519))</f>
        <v>0 / 0</v>
      </c>
      <c r="I155" s="28" t="str">
        <f>CONCATENATE(SUMIF($F$6:$F155,$F155,$K$6:$K519)," / ",SUMIF($F$6:$F$370,$F155,$K$6:$K519))</f>
        <v>0 / 0</v>
      </c>
      <c r="J155" s="28" t="str">
        <f>CONCATENATE(SUM($K$6:$K155)," / ",SUM($K$6:$K$370))</f>
        <v>180,895 / 180,895</v>
      </c>
      <c r="K155" s="245">
        <v>0</v>
      </c>
      <c r="L155" s="28"/>
      <c r="M155" s="28" t="str">
        <f>CONCATENATE(SUMIF($E$6:$E155,$E155,$P$6:$P$370)," / ",SUMIF($E$6:$E$370,$E155,$P$6:$P$370))</f>
        <v>0 / 0</v>
      </c>
      <c r="N155" s="28" t="str">
        <f ca="1">CONCATENATE(SUMIF($F$6:$F155,$F155,$P155)," / ",SUMIF($F$6:$F$370,$F155,$P$6:$P$370))</f>
        <v>0 / 0</v>
      </c>
      <c r="O155" s="28" t="str">
        <f t="shared" si="19"/>
        <v>0 / 30</v>
      </c>
      <c r="P155" s="245">
        <v>0</v>
      </c>
      <c r="Q155" s="28"/>
      <c r="R155" s="246">
        <v>0</v>
      </c>
      <c r="S155" s="28" t="str">
        <f>CONCATENATE(SUMIF($E$6:$E155,E155,$R$6:$R$370)," / ",SUMIF($E$6:$E$370,E155,$R$6:$R$370))</f>
        <v>0 / 0</v>
      </c>
      <c r="T155" s="28" t="str">
        <f>CONCATENATE(SUMIF($F$6:$F155,$F155,$R$6:$R$370)," / ",SUMIF($F$6:$F$370,$F155,$R$6:$R$370))</f>
        <v>0 / 0</v>
      </c>
      <c r="U155" s="28" t="str">
        <f>CONCATENATE(SUM($R$6:$R155)," / ",SUM($R$6:$R$370))</f>
        <v>0 / 0</v>
      </c>
    </row>
    <row r="156" spans="2:21" ht="13" thickBot="1">
      <c r="B156" s="28"/>
      <c r="C156" s="237">
        <f t="shared" si="20"/>
        <v>42520</v>
      </c>
      <c r="D156" s="35" t="str">
        <f t="shared" si="16"/>
        <v>Lundi</v>
      </c>
      <c r="E156" s="124">
        <f t="shared" si="17"/>
        <v>23</v>
      </c>
      <c r="F156" s="124">
        <f t="shared" si="18"/>
        <v>5</v>
      </c>
      <c r="G156" s="27"/>
      <c r="H156" s="28" t="str">
        <f>CONCATENATE(SUMIF($E$6:$E156,$E156,$K$6:$K$370)," / ",SUMIF($E$6:$E$370,$E156,$K$6:$K520))</f>
        <v>0 / 0</v>
      </c>
      <c r="I156" s="28" t="str">
        <f>CONCATENATE(SUMIF($F$6:$F156,$F156,$K$6:$K520)," / ",SUMIF($F$6:$F$370,$F156,$K$6:$K520))</f>
        <v>0 / 0</v>
      </c>
      <c r="J156" s="28" t="str">
        <f>CONCATENATE(SUM($K$6:$K156)," / ",SUM($K$6:$K$370))</f>
        <v>180,895 / 180,895</v>
      </c>
      <c r="K156" s="245">
        <v>0</v>
      </c>
      <c r="L156" s="28"/>
      <c r="M156" s="28" t="str">
        <f>CONCATENATE(SUMIF($E$6:$E156,$E156,$P$6:$P$370)," / ",SUMIF($E$6:$E$370,$E156,$P$6:$P$370))</f>
        <v>0 / 0</v>
      </c>
      <c r="N156" s="28" t="str">
        <f ca="1">CONCATENATE(SUMIF($F$6:$F156,$F156,$P156)," / ",SUMIF($F$6:$F$370,$F156,$P$6:$P$370))</f>
        <v>0 / 0</v>
      </c>
      <c r="O156" s="28" t="str">
        <f t="shared" si="19"/>
        <v>0 / 30</v>
      </c>
      <c r="P156" s="245">
        <v>0</v>
      </c>
      <c r="Q156" s="28"/>
      <c r="R156" s="246">
        <v>0</v>
      </c>
      <c r="S156" s="28" t="str">
        <f>CONCATENATE(SUMIF($E$6:$E156,E156,$R$6:$R$370)," / ",SUMIF($E$6:$E$370,E156,$R$6:$R$370))</f>
        <v>0 / 0</v>
      </c>
      <c r="T156" s="28" t="str">
        <f>CONCATENATE(SUMIF($F$6:$F156,$F156,$R$6:$R$370)," / ",SUMIF($F$6:$F$370,$F156,$R$6:$R$370))</f>
        <v>0 / 0</v>
      </c>
      <c r="U156" s="28" t="str">
        <f>CONCATENATE(SUM($R$6:$R156)," / ",SUM($R$6:$R$370))</f>
        <v>0 / 0</v>
      </c>
    </row>
    <row r="157" spans="2:21" ht="13" thickBot="1">
      <c r="B157" s="28"/>
      <c r="C157" s="237">
        <f t="shared" si="20"/>
        <v>42521</v>
      </c>
      <c r="D157" s="35" t="str">
        <f t="shared" si="16"/>
        <v>Mardi</v>
      </c>
      <c r="E157" s="124">
        <f t="shared" si="17"/>
        <v>23</v>
      </c>
      <c r="F157" s="124">
        <f t="shared" si="18"/>
        <v>5</v>
      </c>
      <c r="G157" s="27"/>
      <c r="H157" s="28" t="str">
        <f>CONCATENATE(SUMIF($E$6:$E157,$E157,$K$6:$K$370)," / ",SUMIF($E$6:$E$370,$E157,$K$6:$K521))</f>
        <v>0 / 0</v>
      </c>
      <c r="I157" s="28" t="str">
        <f>CONCATENATE(SUMIF($F$6:$F157,$F157,$K$6:$K521)," / ",SUMIF($F$6:$F$370,$F157,$K$6:$K521))</f>
        <v>0 / 0</v>
      </c>
      <c r="J157" s="28" t="str">
        <f>CONCATENATE(SUM($K$6:$K157)," / ",SUM($K$6:$K$370))</f>
        <v>180,895 / 180,895</v>
      </c>
      <c r="K157" s="245">
        <v>0</v>
      </c>
      <c r="L157" s="28"/>
      <c r="M157" s="28" t="str">
        <f>CONCATENATE(SUMIF($E$6:$E157,$E157,$P$6:$P$370)," / ",SUMIF($E$6:$E$370,$E157,$P$6:$P$370))</f>
        <v>0 / 0</v>
      </c>
      <c r="N157" s="28" t="str">
        <f ca="1">CONCATENATE(SUMIF($F$6:$F157,$F157,$P157)," / ",SUMIF($F$6:$F$370,$F157,$P$6:$P$370))</f>
        <v>0 / 0</v>
      </c>
      <c r="O157" s="28" t="str">
        <f t="shared" si="19"/>
        <v>0 / 30</v>
      </c>
      <c r="P157" s="245">
        <v>0</v>
      </c>
      <c r="Q157" s="28"/>
      <c r="R157" s="246">
        <v>0</v>
      </c>
      <c r="S157" s="28" t="str">
        <f>CONCATENATE(SUMIF($E$6:$E157,E157,$R$6:$R$370)," / ",SUMIF($E$6:$E$370,E157,$R$6:$R$370))</f>
        <v>0 / 0</v>
      </c>
      <c r="T157" s="28" t="str">
        <f>CONCATENATE(SUMIF($F$6:$F157,$F157,$R$6:$R$370)," / ",SUMIF($F$6:$F$370,$F157,$R$6:$R$370))</f>
        <v>0 / 0</v>
      </c>
      <c r="U157" s="28" t="str">
        <f>CONCATENATE(SUM($R$6:$R157)," / ",SUM($R$6:$R$370))</f>
        <v>0 / 0</v>
      </c>
    </row>
    <row r="158" spans="2:21" ht="13" thickBot="1">
      <c r="B158" s="28"/>
      <c r="C158" s="237">
        <f t="shared" si="20"/>
        <v>42522</v>
      </c>
      <c r="D158" s="35" t="str">
        <f t="shared" si="16"/>
        <v>Mercredi</v>
      </c>
      <c r="E158" s="124">
        <f t="shared" si="17"/>
        <v>23</v>
      </c>
      <c r="F158" s="124">
        <f t="shared" si="18"/>
        <v>6</v>
      </c>
      <c r="G158" s="27"/>
      <c r="H158" s="28" t="str">
        <f>CONCATENATE(SUMIF($E$6:$E158,$E158,$K$6:$K$370)," / ",SUMIF($E$6:$E$370,$E158,$K$6:$K522))</f>
        <v>0 / 0</v>
      </c>
      <c r="I158" s="28" t="str">
        <f>CONCATENATE(SUMIF($F$6:$F158,$F158,$K$6:$K522)," / ",SUMIF($F$6:$F$370,$F158,$K$6:$K522))</f>
        <v>0 / 0</v>
      </c>
      <c r="J158" s="28" t="str">
        <f>CONCATENATE(SUM($K$6:$K158)," / ",SUM($K$6:$K$370))</f>
        <v>180,895 / 180,895</v>
      </c>
      <c r="K158" s="245">
        <v>0</v>
      </c>
      <c r="L158" s="28"/>
      <c r="M158" s="28" t="str">
        <f>CONCATENATE(SUMIF($E$6:$E158,$E158,$P$6:$P$370)," / ",SUMIF($E$6:$E$370,$E158,$P$6:$P$370))</f>
        <v>0 / 0</v>
      </c>
      <c r="N158" s="28" t="str">
        <f ca="1">CONCATENATE(SUMIF($F$6:$F158,$F158,$P158)," / ",SUMIF($F$6:$F$370,$F158,$P$6:$P$370))</f>
        <v>0 / 0</v>
      </c>
      <c r="O158" s="28" t="str">
        <f t="shared" si="19"/>
        <v>0 / 30</v>
      </c>
      <c r="P158" s="245">
        <v>0</v>
      </c>
      <c r="Q158" s="28"/>
      <c r="R158" s="246">
        <v>0</v>
      </c>
      <c r="S158" s="28" t="str">
        <f>CONCATENATE(SUMIF($E$6:$E158,E158,$R$6:$R$370)," / ",SUMIF($E$6:$E$370,E158,$R$6:$R$370))</f>
        <v>0 / 0</v>
      </c>
      <c r="T158" s="28" t="str">
        <f>CONCATENATE(SUMIF($F$6:$F158,$F158,$R$6:$R$370)," / ",SUMIF($F$6:$F$370,$F158,$R$6:$R$370))</f>
        <v>0 / 0</v>
      </c>
      <c r="U158" s="28" t="str">
        <f>CONCATENATE(SUM($R$6:$R158)," / ",SUM($R$6:$R$370))</f>
        <v>0 / 0</v>
      </c>
    </row>
    <row r="159" spans="2:21" ht="13" thickBot="1">
      <c r="B159" s="28"/>
      <c r="C159" s="237">
        <f t="shared" si="20"/>
        <v>42523</v>
      </c>
      <c r="D159" s="35" t="str">
        <f t="shared" si="16"/>
        <v>Jeudi</v>
      </c>
      <c r="E159" s="124">
        <f t="shared" si="17"/>
        <v>23</v>
      </c>
      <c r="F159" s="124">
        <f t="shared" si="18"/>
        <v>6</v>
      </c>
      <c r="G159" s="27"/>
      <c r="H159" s="28" t="str">
        <f>CONCATENATE(SUMIF($E$6:$E159,$E159,$K$6:$K$370)," / ",SUMIF($E$6:$E$370,$E159,$K$6:$K523))</f>
        <v>0 / 0</v>
      </c>
      <c r="I159" s="28" t="str">
        <f>CONCATENATE(SUMIF($F$6:$F159,$F159,$K$6:$K523)," / ",SUMIF($F$6:$F$370,$F159,$K$6:$K523))</f>
        <v>0 / 0</v>
      </c>
      <c r="J159" s="28" t="str">
        <f>CONCATENATE(SUM($K$6:$K159)," / ",SUM($K$6:$K$370))</f>
        <v>180,895 / 180,895</v>
      </c>
      <c r="K159" s="245">
        <v>0</v>
      </c>
      <c r="L159" s="28"/>
      <c r="M159" s="28" t="str">
        <f>CONCATENATE(SUMIF($E$6:$E159,$E159,$P$6:$P$370)," / ",SUMIF($E$6:$E$370,$E159,$P$6:$P$370))</f>
        <v>0 / 0</v>
      </c>
      <c r="N159" s="28" t="str">
        <f ca="1">CONCATENATE(SUMIF($F$6:$F159,$F159,$P159)," / ",SUMIF($F$6:$F$370,$F159,$P$6:$P$370))</f>
        <v>0 / 0</v>
      </c>
      <c r="O159" s="28" t="str">
        <f t="shared" si="19"/>
        <v>0 / 30</v>
      </c>
      <c r="P159" s="245">
        <v>0</v>
      </c>
      <c r="Q159" s="28"/>
      <c r="R159" s="246">
        <v>0</v>
      </c>
      <c r="S159" s="28" t="str">
        <f>CONCATENATE(SUMIF($E$6:$E159,E159,$R$6:$R$370)," / ",SUMIF($E$6:$E$370,E159,$R$6:$R$370))</f>
        <v>0 / 0</v>
      </c>
      <c r="T159" s="28" t="str">
        <f>CONCATENATE(SUMIF($F$6:$F159,$F159,$R$6:$R$370)," / ",SUMIF($F$6:$F$370,$F159,$R$6:$R$370))</f>
        <v>0 / 0</v>
      </c>
      <c r="U159" s="28" t="str">
        <f>CONCATENATE(SUM($R$6:$R159)," / ",SUM($R$6:$R$370))</f>
        <v>0 / 0</v>
      </c>
    </row>
    <row r="160" spans="2:21" ht="13" thickBot="1">
      <c r="B160" s="28"/>
      <c r="C160" s="237">
        <f t="shared" si="20"/>
        <v>42524</v>
      </c>
      <c r="D160" s="35" t="str">
        <f t="shared" ref="D160:D223" si="21">IF(EXACT(WEEKDAY(C160),1),"Dimanche",IF(EXACT(WEEKDAY(C160),2),"Lundi",IF(EXACT(WEEKDAY(C160),3),"Mardi",IF(EXACT(WEEKDAY(C160),4),"Mercredi",IF(EXACT(WEEKDAY(C160),5),"Jeudi",IF(EXACT(WEEKDAY(C160),6),"Vendredi",IF(EXACT(WEEKDAY(C160),7),"samedi","Erreur de date")))))))</f>
        <v>Vendredi</v>
      </c>
      <c r="E160" s="124">
        <f t="shared" si="17"/>
        <v>23</v>
      </c>
      <c r="F160" s="124">
        <f t="shared" si="18"/>
        <v>6</v>
      </c>
      <c r="G160" s="27"/>
      <c r="H160" s="28" t="str">
        <f>CONCATENATE(SUMIF($E$6:$E160,$E160,$K$6:$K$370)," / ",SUMIF($E$6:$E$370,$E160,$K$6:$K524))</f>
        <v>0 / 0</v>
      </c>
      <c r="I160" s="28" t="str">
        <f>CONCATENATE(SUMIF($F$6:$F160,$F160,$K$6:$K524)," / ",SUMIF($F$6:$F$370,$F160,$K$6:$K524))</f>
        <v>0 / 0</v>
      </c>
      <c r="J160" s="28" t="str">
        <f>CONCATENATE(SUM($K$6:$K160)," / ",SUM($K$6:$K$370))</f>
        <v>180,895 / 180,895</v>
      </c>
      <c r="K160" s="245">
        <v>0</v>
      </c>
      <c r="L160" s="28"/>
      <c r="M160" s="28" t="str">
        <f>CONCATENATE(SUMIF($E$6:$E160,$E160,$P$6:$P$370)," / ",SUMIF($E$6:$E$370,$E160,$P$6:$P$370))</f>
        <v>0 / 0</v>
      </c>
      <c r="N160" s="28" t="str">
        <f ca="1">CONCATENATE(SUMIF($F$6:$F160,$F160,$P160)," / ",SUMIF($F$6:$F$370,$F160,$P$6:$P$370))</f>
        <v>0 / 0</v>
      </c>
      <c r="O160" s="28" t="str">
        <f t="shared" si="19"/>
        <v>0 / 30</v>
      </c>
      <c r="P160" s="245">
        <v>0</v>
      </c>
      <c r="Q160" s="28"/>
      <c r="R160" s="246">
        <v>0</v>
      </c>
      <c r="S160" s="28" t="str">
        <f>CONCATENATE(SUMIF($E$6:$E160,E160,$R$6:$R$370)," / ",SUMIF($E$6:$E$370,E160,$R$6:$R$370))</f>
        <v>0 / 0</v>
      </c>
      <c r="T160" s="28" t="str">
        <f>CONCATENATE(SUMIF($F$6:$F160,$F160,$R$6:$R$370)," / ",SUMIF($F$6:$F$370,$F160,$R$6:$R$370))</f>
        <v>0 / 0</v>
      </c>
      <c r="U160" s="28" t="str">
        <f>CONCATENATE(SUM($R$6:$R160)," / ",SUM($R$6:$R$370))</f>
        <v>0 / 0</v>
      </c>
    </row>
    <row r="161" spans="2:21" ht="13" thickBot="1">
      <c r="B161" s="28"/>
      <c r="C161" s="237">
        <f t="shared" si="20"/>
        <v>42525</v>
      </c>
      <c r="D161" s="35" t="str">
        <f t="shared" si="21"/>
        <v>samedi</v>
      </c>
      <c r="E161" s="124">
        <f t="shared" si="17"/>
        <v>23</v>
      </c>
      <c r="F161" s="124">
        <f t="shared" si="18"/>
        <v>6</v>
      </c>
      <c r="G161" s="27"/>
      <c r="H161" s="28" t="str">
        <f>CONCATENATE(SUMIF($E$6:$E161,$E161,$K$6:$K$370)," / ",SUMIF($E$6:$E$370,$E161,$K$6:$K525))</f>
        <v>0 / 0</v>
      </c>
      <c r="I161" s="28" t="str">
        <f>CONCATENATE(SUMIF($F$6:$F161,$F161,$K$6:$K525)," / ",SUMIF($F$6:$F$370,$F161,$K$6:$K525))</f>
        <v>0 / 0</v>
      </c>
      <c r="J161" s="28" t="str">
        <f>CONCATENATE(SUM($K$6:$K161)," / ",SUM($K$6:$K$370))</f>
        <v>180,895 / 180,895</v>
      </c>
      <c r="K161" s="245">
        <v>0</v>
      </c>
      <c r="L161" s="28"/>
      <c r="M161" s="28" t="str">
        <f>CONCATENATE(SUMIF($E$6:$E161,$E161,$P$6:$P$370)," / ",SUMIF($E$6:$E$370,$E161,$P$6:$P$370))</f>
        <v>0 / 0</v>
      </c>
      <c r="N161" s="28" t="str">
        <f ca="1">CONCATENATE(SUMIF($F$6:$F161,$F161,$P161)," / ",SUMIF($F$6:$F$370,$F161,$P$6:$P$370))</f>
        <v>0 / 0</v>
      </c>
      <c r="O161" s="28" t="str">
        <f t="shared" si="19"/>
        <v>0 / 30</v>
      </c>
      <c r="P161" s="245">
        <v>0</v>
      </c>
      <c r="Q161" s="28"/>
      <c r="R161" s="246">
        <v>0</v>
      </c>
      <c r="S161" s="28" t="str">
        <f>CONCATENATE(SUMIF($E$6:$E161,E161,$R$6:$R$370)," / ",SUMIF($E$6:$E$370,E161,$R$6:$R$370))</f>
        <v>0 / 0</v>
      </c>
      <c r="T161" s="28" t="str">
        <f>CONCATENATE(SUMIF($F$6:$F161,$F161,$R$6:$R$370)," / ",SUMIF($F$6:$F$370,$F161,$R$6:$R$370))</f>
        <v>0 / 0</v>
      </c>
      <c r="U161" s="28" t="str">
        <f>CONCATENATE(SUM($R$6:$R161)," / ",SUM($R$6:$R$370))</f>
        <v>0 / 0</v>
      </c>
    </row>
    <row r="162" spans="2:21" ht="13" thickBot="1">
      <c r="B162" s="28"/>
      <c r="C162" s="237">
        <f t="shared" si="20"/>
        <v>42526</v>
      </c>
      <c r="D162" s="35" t="str">
        <f t="shared" si="21"/>
        <v>Dimanche</v>
      </c>
      <c r="E162" s="124">
        <f t="shared" si="17"/>
        <v>24</v>
      </c>
      <c r="F162" s="124">
        <f t="shared" si="18"/>
        <v>6</v>
      </c>
      <c r="G162" s="27"/>
      <c r="H162" s="28" t="str">
        <f>CONCATENATE(SUMIF($E$6:$E162,$E162,$K$6:$K$370)," / ",SUMIF($E$6:$E$370,$E162,$K$6:$K526))</f>
        <v>0 / 0</v>
      </c>
      <c r="I162" s="28" t="str">
        <f>CONCATENATE(SUMIF($F$6:$F162,$F162,$K$6:$K526)," / ",SUMIF($F$6:$F$370,$F162,$K$6:$K526))</f>
        <v>0 / 0</v>
      </c>
      <c r="J162" s="28" t="str">
        <f>CONCATENATE(SUM($K$6:$K162)," / ",SUM($K$6:$K$370))</f>
        <v>180,895 / 180,895</v>
      </c>
      <c r="K162" s="245">
        <v>0</v>
      </c>
      <c r="L162" s="28"/>
      <c r="M162" s="28" t="str">
        <f>CONCATENATE(SUMIF($E$6:$E162,$E162,$P$6:$P$370)," / ",SUMIF($E$6:$E$370,$E162,$P$6:$P$370))</f>
        <v>0 / 0</v>
      </c>
      <c r="N162" s="28" t="str">
        <f ca="1">CONCATENATE(SUMIF($F$6:$F162,$F162,$P162)," / ",SUMIF($F$6:$F$370,$F162,$P$6:$P$370))</f>
        <v>0 / 0</v>
      </c>
      <c r="O162" s="28" t="str">
        <f t="shared" si="19"/>
        <v>0 / 30</v>
      </c>
      <c r="P162" s="245">
        <v>0</v>
      </c>
      <c r="Q162" s="28"/>
      <c r="R162" s="246">
        <v>0</v>
      </c>
      <c r="S162" s="28" t="str">
        <f>CONCATENATE(SUMIF($E$6:$E162,E162,$R$6:$R$370)," / ",SUMIF($E$6:$E$370,E162,$R$6:$R$370))</f>
        <v>0 / 0</v>
      </c>
      <c r="T162" s="28" t="str">
        <f>CONCATENATE(SUMIF($F$6:$F162,$F162,$R$6:$R$370)," / ",SUMIF($F$6:$F$370,$F162,$R$6:$R$370))</f>
        <v>0 / 0</v>
      </c>
      <c r="U162" s="28" t="str">
        <f>CONCATENATE(SUM($R$6:$R162)," / ",SUM($R$6:$R$370))</f>
        <v>0 / 0</v>
      </c>
    </row>
    <row r="163" spans="2:21" ht="13" thickBot="1">
      <c r="B163" s="28"/>
      <c r="C163" s="237">
        <f t="shared" si="20"/>
        <v>42527</v>
      </c>
      <c r="D163" s="35" t="str">
        <f t="shared" si="21"/>
        <v>Lundi</v>
      </c>
      <c r="E163" s="124">
        <f t="shared" si="17"/>
        <v>24</v>
      </c>
      <c r="F163" s="124">
        <f t="shared" si="18"/>
        <v>6</v>
      </c>
      <c r="G163" s="27"/>
      <c r="H163" s="28" t="str">
        <f>CONCATENATE(SUMIF($E$6:$E163,$E163,$K$6:$K$370)," / ",SUMIF($E$6:$E$370,$E163,$K$6:$K527))</f>
        <v>0 / 0</v>
      </c>
      <c r="I163" s="28" t="str">
        <f>CONCATENATE(SUMIF($F$6:$F163,$F163,$K$6:$K527)," / ",SUMIF($F$6:$F$370,$F163,$K$6:$K527))</f>
        <v>0 / 0</v>
      </c>
      <c r="J163" s="28" t="str">
        <f>CONCATENATE(SUM($K$6:$K163)," / ",SUM($K$6:$K$370))</f>
        <v>180,895 / 180,895</v>
      </c>
      <c r="K163" s="245">
        <v>0</v>
      </c>
      <c r="L163" s="28"/>
      <c r="M163" s="28" t="str">
        <f>CONCATENATE(SUMIF($E$6:$E163,$E163,$P$6:$P$370)," / ",SUMIF($E$6:$E$370,$E163,$P$6:$P$370))</f>
        <v>0 / 0</v>
      </c>
      <c r="N163" s="28" t="str">
        <f ca="1">CONCATENATE(SUMIF($F$6:$F163,$F163,$P163)," / ",SUMIF($F$6:$F$370,$F163,$P$6:$P$370))</f>
        <v>0 / 0</v>
      </c>
      <c r="O163" s="28" t="str">
        <f t="shared" si="19"/>
        <v>0 / 30</v>
      </c>
      <c r="P163" s="245">
        <v>0</v>
      </c>
      <c r="Q163" s="28"/>
      <c r="R163" s="246">
        <v>0</v>
      </c>
      <c r="S163" s="28" t="str">
        <f>CONCATENATE(SUMIF($E$6:$E163,E163,$R$6:$R$370)," / ",SUMIF($E$6:$E$370,E163,$R$6:$R$370))</f>
        <v>0 / 0</v>
      </c>
      <c r="T163" s="28" t="str">
        <f>CONCATENATE(SUMIF($F$6:$F163,$F163,$R$6:$R$370)," / ",SUMIF($F$6:$F$370,$F163,$R$6:$R$370))</f>
        <v>0 / 0</v>
      </c>
      <c r="U163" s="28" t="str">
        <f>CONCATENATE(SUM($R$6:$R163)," / ",SUM($R$6:$R$370))</f>
        <v>0 / 0</v>
      </c>
    </row>
    <row r="164" spans="2:21" ht="13" thickBot="1">
      <c r="B164" s="28"/>
      <c r="C164" s="237">
        <f t="shared" si="20"/>
        <v>42528</v>
      </c>
      <c r="D164" s="35" t="str">
        <f t="shared" si="21"/>
        <v>Mardi</v>
      </c>
      <c r="E164" s="124">
        <f t="shared" si="17"/>
        <v>24</v>
      </c>
      <c r="F164" s="124">
        <f t="shared" si="18"/>
        <v>6</v>
      </c>
      <c r="G164" s="27"/>
      <c r="H164" s="28" t="str">
        <f>CONCATENATE(SUMIF($E$6:$E164,$E164,$K$6:$K$370)," / ",SUMIF($E$6:$E$370,$E164,$K$6:$K528))</f>
        <v>0 / 0</v>
      </c>
      <c r="I164" s="28" t="str">
        <f>CONCATENATE(SUMIF($F$6:$F164,$F164,$K$6:$K528)," / ",SUMIF($F$6:$F$370,$F164,$K$6:$K528))</f>
        <v>0 / 0</v>
      </c>
      <c r="J164" s="28" t="str">
        <f>CONCATENATE(SUM($K$6:$K164)," / ",SUM($K$6:$K$370))</f>
        <v>180,895 / 180,895</v>
      </c>
      <c r="K164" s="245">
        <v>0</v>
      </c>
      <c r="L164" s="28"/>
      <c r="M164" s="28" t="str">
        <f>CONCATENATE(SUMIF($E$6:$E164,$E164,$P$6:$P$370)," / ",SUMIF($E$6:$E$370,$E164,$P$6:$P$370))</f>
        <v>0 / 0</v>
      </c>
      <c r="N164" s="28" t="str">
        <f ca="1">CONCATENATE(SUMIF($F$6:$F164,$F164,$P164)," / ",SUMIF($F$6:$F$370,$F164,$P$6:$P$370))</f>
        <v>0 / 0</v>
      </c>
      <c r="O164" s="28" t="str">
        <f t="shared" si="19"/>
        <v>0 / 30</v>
      </c>
      <c r="P164" s="245">
        <v>0</v>
      </c>
      <c r="Q164" s="28"/>
      <c r="R164" s="246">
        <v>0</v>
      </c>
      <c r="S164" s="28" t="str">
        <f>CONCATENATE(SUMIF($E$6:$E164,E164,$R$6:$R$370)," / ",SUMIF($E$6:$E$370,E164,$R$6:$R$370))</f>
        <v>0 / 0</v>
      </c>
      <c r="T164" s="28" t="str">
        <f>CONCATENATE(SUMIF($F$6:$F164,$F164,$R$6:$R$370)," / ",SUMIF($F$6:$F$370,$F164,$R$6:$R$370))</f>
        <v>0 / 0</v>
      </c>
      <c r="U164" s="28" t="str">
        <f>CONCATENATE(SUM($R$6:$R164)," / ",SUM($R$6:$R$370))</f>
        <v>0 / 0</v>
      </c>
    </row>
    <row r="165" spans="2:21" ht="13" thickBot="1">
      <c r="B165" s="28"/>
      <c r="C165" s="237">
        <f t="shared" si="20"/>
        <v>42529</v>
      </c>
      <c r="D165" s="35" t="str">
        <f t="shared" si="21"/>
        <v>Mercredi</v>
      </c>
      <c r="E165" s="124">
        <f t="shared" si="17"/>
        <v>24</v>
      </c>
      <c r="F165" s="124">
        <f t="shared" si="18"/>
        <v>6</v>
      </c>
      <c r="G165" s="27"/>
      <c r="H165" s="28" t="str">
        <f>CONCATENATE(SUMIF($E$6:$E165,$E165,$K$6:$K$370)," / ",SUMIF($E$6:$E$370,$E165,$K$6:$K529))</f>
        <v>0 / 0</v>
      </c>
      <c r="I165" s="28" t="str">
        <f>CONCATENATE(SUMIF($F$6:$F165,$F165,$K$6:$K529)," / ",SUMIF($F$6:$F$370,$F165,$K$6:$K529))</f>
        <v>0 / 0</v>
      </c>
      <c r="J165" s="28" t="str">
        <f>CONCATENATE(SUM($K$6:$K165)," / ",SUM($K$6:$K$370))</f>
        <v>180,895 / 180,895</v>
      </c>
      <c r="K165" s="245">
        <v>0</v>
      </c>
      <c r="L165" s="28"/>
      <c r="M165" s="28" t="str">
        <f>CONCATENATE(SUMIF($E$6:$E165,$E165,$P$6:$P$370)," / ",SUMIF($E$6:$E$370,$E165,$P$6:$P$370))</f>
        <v>0 / 0</v>
      </c>
      <c r="N165" s="28" t="str">
        <f ca="1">CONCATENATE(SUMIF($F$6:$F165,$F165,$P165)," / ",SUMIF($F$6:$F$370,$F165,$P$6:$P$370))</f>
        <v>0 / 0</v>
      </c>
      <c r="O165" s="28" t="str">
        <f t="shared" si="19"/>
        <v>0 / 30</v>
      </c>
      <c r="P165" s="245">
        <v>0</v>
      </c>
      <c r="Q165" s="28"/>
      <c r="R165" s="246">
        <v>0</v>
      </c>
      <c r="S165" s="28" t="str">
        <f>CONCATENATE(SUMIF($E$6:$E165,E165,$R$6:$R$370)," / ",SUMIF($E$6:$E$370,E165,$R$6:$R$370))</f>
        <v>0 / 0</v>
      </c>
      <c r="T165" s="28" t="str">
        <f>CONCATENATE(SUMIF($F$6:$F165,$F165,$R$6:$R$370)," / ",SUMIF($F$6:$F$370,$F165,$R$6:$R$370))</f>
        <v>0 / 0</v>
      </c>
      <c r="U165" s="28" t="str">
        <f>CONCATENATE(SUM($R$6:$R165)," / ",SUM($R$6:$R$370))</f>
        <v>0 / 0</v>
      </c>
    </row>
    <row r="166" spans="2:21" ht="13" thickBot="1">
      <c r="B166" s="28"/>
      <c r="C166" s="237">
        <f t="shared" si="20"/>
        <v>42530</v>
      </c>
      <c r="D166" s="35" t="str">
        <f t="shared" si="21"/>
        <v>Jeudi</v>
      </c>
      <c r="E166" s="124">
        <f t="shared" si="17"/>
        <v>24</v>
      </c>
      <c r="F166" s="124">
        <f t="shared" si="18"/>
        <v>6</v>
      </c>
      <c r="G166" s="27"/>
      <c r="H166" s="28" t="str">
        <f>CONCATENATE(SUMIF($E$6:$E166,$E166,$K$6:$K$370)," / ",SUMIF($E$6:$E$370,$E166,$K$6:$K530))</f>
        <v>0 / 0</v>
      </c>
      <c r="I166" s="28" t="str">
        <f>CONCATENATE(SUMIF($F$6:$F166,$F166,$K$6:$K530)," / ",SUMIF($F$6:$F$370,$F166,$K$6:$K530))</f>
        <v>0 / 0</v>
      </c>
      <c r="J166" s="28" t="str">
        <f>CONCATENATE(SUM($K$6:$K166)," / ",SUM($K$6:$K$370))</f>
        <v>180,895 / 180,895</v>
      </c>
      <c r="K166" s="245">
        <v>0</v>
      </c>
      <c r="L166" s="28"/>
      <c r="M166" s="28" t="str">
        <f>CONCATENATE(SUMIF($E$6:$E166,$E166,$P$6:$P$370)," / ",SUMIF($E$6:$E$370,$E166,$P$6:$P$370))</f>
        <v>0 / 0</v>
      </c>
      <c r="N166" s="28" t="str">
        <f ca="1">CONCATENATE(SUMIF($F$6:$F166,$F166,$P166)," / ",SUMIF($F$6:$F$370,$F166,$P$6:$P$370))</f>
        <v>0 / 0</v>
      </c>
      <c r="O166" s="28" t="str">
        <f t="shared" si="19"/>
        <v>0 / 30</v>
      </c>
      <c r="P166" s="245">
        <v>0</v>
      </c>
      <c r="Q166" s="28"/>
      <c r="R166" s="246">
        <v>0</v>
      </c>
      <c r="S166" s="28" t="str">
        <f>CONCATENATE(SUMIF($E$6:$E166,E166,$R$6:$R$370)," / ",SUMIF($E$6:$E$370,E166,$R$6:$R$370))</f>
        <v>0 / 0</v>
      </c>
      <c r="T166" s="28" t="str">
        <f>CONCATENATE(SUMIF($F$6:$F166,$F166,$R$6:$R$370)," / ",SUMIF($F$6:$F$370,$F166,$R$6:$R$370))</f>
        <v>0 / 0</v>
      </c>
      <c r="U166" s="28" t="str">
        <f>CONCATENATE(SUM($R$6:$R166)," / ",SUM($R$6:$R$370))</f>
        <v>0 / 0</v>
      </c>
    </row>
    <row r="167" spans="2:21" ht="13" thickBot="1">
      <c r="B167" s="28"/>
      <c r="C167" s="237">
        <f t="shared" si="20"/>
        <v>42531</v>
      </c>
      <c r="D167" s="35" t="str">
        <f t="shared" si="21"/>
        <v>Vendredi</v>
      </c>
      <c r="E167" s="124">
        <f t="shared" si="17"/>
        <v>24</v>
      </c>
      <c r="F167" s="124">
        <f t="shared" si="18"/>
        <v>6</v>
      </c>
      <c r="G167" s="27"/>
      <c r="H167" s="28" t="str">
        <f>CONCATENATE(SUMIF($E$6:$E167,$E167,$K$6:$K$370)," / ",SUMIF($E$6:$E$370,$E167,$K$6:$K531))</f>
        <v>0 / 0</v>
      </c>
      <c r="I167" s="28" t="str">
        <f>CONCATENATE(SUMIF($F$6:$F167,$F167,$K$6:$K531)," / ",SUMIF($F$6:$F$370,$F167,$K$6:$K531))</f>
        <v>0 / 0</v>
      </c>
      <c r="J167" s="28" t="str">
        <f>CONCATENATE(SUM($K$6:$K167)," / ",SUM($K$6:$K$370))</f>
        <v>180,895 / 180,895</v>
      </c>
      <c r="K167" s="245">
        <v>0</v>
      </c>
      <c r="L167" s="28"/>
      <c r="M167" s="28" t="str">
        <f>CONCATENATE(SUMIF($E$6:$E167,$E167,$P$6:$P$370)," / ",SUMIF($E$6:$E$370,$E167,$P$6:$P$370))</f>
        <v>0 / 0</v>
      </c>
      <c r="N167" s="28" t="str">
        <f ca="1">CONCATENATE(SUMIF($F$6:$F167,$F167,$P167)," / ",SUMIF($F$6:$F$370,$F167,$P$6:$P$370))</f>
        <v>0 / 0</v>
      </c>
      <c r="O167" s="28" t="str">
        <f t="shared" si="19"/>
        <v>0 / 30</v>
      </c>
      <c r="P167" s="245">
        <v>0</v>
      </c>
      <c r="Q167" s="28"/>
      <c r="R167" s="246">
        <v>0</v>
      </c>
      <c r="S167" s="28" t="str">
        <f>CONCATENATE(SUMIF($E$6:$E167,E167,$R$6:$R$370)," / ",SUMIF($E$6:$E$370,E167,$R$6:$R$370))</f>
        <v>0 / 0</v>
      </c>
      <c r="T167" s="28" t="str">
        <f>CONCATENATE(SUMIF($F$6:$F167,$F167,$R$6:$R$370)," / ",SUMIF($F$6:$F$370,$F167,$R$6:$R$370))</f>
        <v>0 / 0</v>
      </c>
      <c r="U167" s="28" t="str">
        <f>CONCATENATE(SUM($R$6:$R167)," / ",SUM($R$6:$R$370))</f>
        <v>0 / 0</v>
      </c>
    </row>
    <row r="168" spans="2:21" ht="13" thickBot="1">
      <c r="B168" s="28"/>
      <c r="C168" s="237">
        <f t="shared" si="20"/>
        <v>42532</v>
      </c>
      <c r="D168" s="35" t="str">
        <f t="shared" si="21"/>
        <v>samedi</v>
      </c>
      <c r="E168" s="124">
        <f t="shared" si="17"/>
        <v>24</v>
      </c>
      <c r="F168" s="124">
        <f t="shared" si="18"/>
        <v>6</v>
      </c>
      <c r="G168" s="27"/>
      <c r="H168" s="28" t="str">
        <f>CONCATENATE(SUMIF($E$6:$E168,$E168,$K$6:$K$370)," / ",SUMIF($E$6:$E$370,$E168,$K$6:$K532))</f>
        <v>0 / 0</v>
      </c>
      <c r="I168" s="28" t="str">
        <f>CONCATENATE(SUMIF($F$6:$F168,$F168,$K$6:$K532)," / ",SUMIF($F$6:$F$370,$F168,$K$6:$K532))</f>
        <v>0 / 0</v>
      </c>
      <c r="J168" s="28" t="str">
        <f>CONCATENATE(SUM($K$6:$K168)," / ",SUM($K$6:$K$370))</f>
        <v>180,895 / 180,895</v>
      </c>
      <c r="K168" s="245">
        <v>0</v>
      </c>
      <c r="L168" s="28"/>
      <c r="M168" s="28" t="str">
        <f>CONCATENATE(SUMIF($E$6:$E168,$E168,$P$6:$P$370)," / ",SUMIF($E$6:$E$370,$E168,$P$6:$P$370))</f>
        <v>0 / 0</v>
      </c>
      <c r="N168" s="28" t="str">
        <f ca="1">CONCATENATE(SUMIF($F$6:$F168,$F168,$P168)," / ",SUMIF($F$6:$F$370,$F168,$P$6:$P$370))</f>
        <v>0 / 0</v>
      </c>
      <c r="O168" s="28" t="str">
        <f t="shared" si="19"/>
        <v>0 / 30</v>
      </c>
      <c r="P168" s="245">
        <v>0</v>
      </c>
      <c r="Q168" s="28"/>
      <c r="R168" s="246">
        <v>0</v>
      </c>
      <c r="S168" s="28" t="str">
        <f>CONCATENATE(SUMIF($E$6:$E168,E168,$R$6:$R$370)," / ",SUMIF($E$6:$E$370,E168,$R$6:$R$370))</f>
        <v>0 / 0</v>
      </c>
      <c r="T168" s="28" t="str">
        <f>CONCATENATE(SUMIF($F$6:$F168,$F168,$R$6:$R$370)," / ",SUMIF($F$6:$F$370,$F168,$R$6:$R$370))</f>
        <v>0 / 0</v>
      </c>
      <c r="U168" s="28" t="str">
        <f>CONCATENATE(SUM($R$6:$R168)," / ",SUM($R$6:$R$370))</f>
        <v>0 / 0</v>
      </c>
    </row>
    <row r="169" spans="2:21" ht="13" thickBot="1">
      <c r="B169" s="28"/>
      <c r="C169" s="237">
        <f t="shared" si="20"/>
        <v>42533</v>
      </c>
      <c r="D169" s="35" t="str">
        <f t="shared" si="21"/>
        <v>Dimanche</v>
      </c>
      <c r="E169" s="124">
        <f t="shared" si="17"/>
        <v>25</v>
      </c>
      <c r="F169" s="124">
        <f t="shared" si="18"/>
        <v>6</v>
      </c>
      <c r="G169" s="27"/>
      <c r="H169" s="28" t="str">
        <f>CONCATENATE(SUMIF($E$6:$E169,$E169,$K$6:$K$370)," / ",SUMIF($E$6:$E$370,$E169,$K$6:$K533))</f>
        <v>0 / 0</v>
      </c>
      <c r="I169" s="28" t="str">
        <f>CONCATENATE(SUMIF($F$6:$F169,$F169,$K$6:$K533)," / ",SUMIF($F$6:$F$370,$F169,$K$6:$K533))</f>
        <v>0 / 0</v>
      </c>
      <c r="J169" s="28" t="str">
        <f>CONCATENATE(SUM($K$6:$K169)," / ",SUM($K$6:$K$370))</f>
        <v>180,895 / 180,895</v>
      </c>
      <c r="K169" s="245">
        <v>0</v>
      </c>
      <c r="L169" s="28"/>
      <c r="M169" s="28" t="str">
        <f>CONCATENATE(SUMIF($E$6:$E169,$E169,$P$6:$P$370)," / ",SUMIF($E$6:$E$370,$E169,$P$6:$P$370))</f>
        <v>0 / 0</v>
      </c>
      <c r="N169" s="28" t="str">
        <f ca="1">CONCATENATE(SUMIF($F$6:$F169,$F169,$P169)," / ",SUMIF($F$6:$F$370,$F169,$P$6:$P$370))</f>
        <v>0 / 0</v>
      </c>
      <c r="O169" s="28" t="str">
        <f t="shared" si="19"/>
        <v>0 / 30</v>
      </c>
      <c r="P169" s="245">
        <v>0</v>
      </c>
      <c r="Q169" s="28"/>
      <c r="R169" s="246">
        <v>0</v>
      </c>
      <c r="S169" s="28" t="str">
        <f>CONCATENATE(SUMIF($E$6:$E169,E169,$R$6:$R$370)," / ",SUMIF($E$6:$E$370,E169,$R$6:$R$370))</f>
        <v>0 / 0</v>
      </c>
      <c r="T169" s="28" t="str">
        <f>CONCATENATE(SUMIF($F$6:$F169,$F169,$R$6:$R$370)," / ",SUMIF($F$6:$F$370,$F169,$R$6:$R$370))</f>
        <v>0 / 0</v>
      </c>
      <c r="U169" s="28" t="str">
        <f>CONCATENATE(SUM($R$6:$R169)," / ",SUM($R$6:$R$370))</f>
        <v>0 / 0</v>
      </c>
    </row>
    <row r="170" spans="2:21" ht="13" thickBot="1">
      <c r="B170" s="28"/>
      <c r="C170" s="237">
        <f t="shared" si="20"/>
        <v>42534</v>
      </c>
      <c r="D170" s="35" t="str">
        <f t="shared" si="21"/>
        <v>Lundi</v>
      </c>
      <c r="E170" s="124">
        <f t="shared" si="17"/>
        <v>25</v>
      </c>
      <c r="F170" s="124">
        <f t="shared" si="18"/>
        <v>6</v>
      </c>
      <c r="G170" s="27"/>
      <c r="H170" s="28" t="str">
        <f>CONCATENATE(SUMIF($E$6:$E170,$E170,$K$6:$K$370)," / ",SUMIF($E$6:$E$370,$E170,$K$6:$K534))</f>
        <v>0 / 0</v>
      </c>
      <c r="I170" s="28" t="str">
        <f>CONCATENATE(SUMIF($F$6:$F170,$F170,$K$6:$K534)," / ",SUMIF($F$6:$F$370,$F170,$K$6:$K534))</f>
        <v>0 / 0</v>
      </c>
      <c r="J170" s="28" t="str">
        <f>CONCATENATE(SUM($K$6:$K170)," / ",SUM($K$6:$K$370))</f>
        <v>180,895 / 180,895</v>
      </c>
      <c r="K170" s="245">
        <v>0</v>
      </c>
      <c r="L170" s="28"/>
      <c r="M170" s="28" t="str">
        <f>CONCATENATE(SUMIF($E$6:$E170,$E170,$P$6:$P$370)," / ",SUMIF($E$6:$E$370,$E170,$P$6:$P$370))</f>
        <v>0 / 0</v>
      </c>
      <c r="N170" s="28" t="str">
        <f ca="1">CONCATENATE(SUMIF($F$6:$F170,$F170,$P170)," / ",SUMIF($F$6:$F$370,$F170,$P$6:$P$370))</f>
        <v>0 / 0</v>
      </c>
      <c r="O170" s="28" t="str">
        <f t="shared" si="19"/>
        <v>0 / 30</v>
      </c>
      <c r="P170" s="245">
        <v>0</v>
      </c>
      <c r="Q170" s="28"/>
      <c r="R170" s="246">
        <v>0</v>
      </c>
      <c r="S170" s="28" t="str">
        <f>CONCATENATE(SUMIF($E$6:$E170,E170,$R$6:$R$370)," / ",SUMIF($E$6:$E$370,E170,$R$6:$R$370))</f>
        <v>0 / 0</v>
      </c>
      <c r="T170" s="28" t="str">
        <f>CONCATENATE(SUMIF($F$6:$F170,$F170,$R$6:$R$370)," / ",SUMIF($F$6:$F$370,$F170,$R$6:$R$370))</f>
        <v>0 / 0</v>
      </c>
      <c r="U170" s="28" t="str">
        <f>CONCATENATE(SUM($R$6:$R170)," / ",SUM($R$6:$R$370))</f>
        <v>0 / 0</v>
      </c>
    </row>
    <row r="171" spans="2:21" ht="13" thickBot="1">
      <c r="B171" s="28"/>
      <c r="C171" s="237">
        <f t="shared" si="20"/>
        <v>42535</v>
      </c>
      <c r="D171" s="35" t="str">
        <f t="shared" si="21"/>
        <v>Mardi</v>
      </c>
      <c r="E171" s="124">
        <f t="shared" si="17"/>
        <v>25</v>
      </c>
      <c r="F171" s="124">
        <f t="shared" si="18"/>
        <v>6</v>
      </c>
      <c r="G171" s="27"/>
      <c r="H171" s="28" t="str">
        <f>CONCATENATE(SUMIF($E$6:$E171,$E171,$K$6:$K$370)," / ",SUMIF($E$6:$E$370,$E171,$K$6:$K535))</f>
        <v>0 / 0</v>
      </c>
      <c r="I171" s="28" t="str">
        <f>CONCATENATE(SUMIF($F$6:$F171,$F171,$K$6:$K535)," / ",SUMIF($F$6:$F$370,$F171,$K$6:$K535))</f>
        <v>0 / 0</v>
      </c>
      <c r="J171" s="28" t="str">
        <f>CONCATENATE(SUM($K$6:$K171)," / ",SUM($K$6:$K$370))</f>
        <v>180,895 / 180,895</v>
      </c>
      <c r="K171" s="245">
        <v>0</v>
      </c>
      <c r="L171" s="28"/>
      <c r="M171" s="28" t="str">
        <f>CONCATENATE(SUMIF($E$6:$E171,$E171,$P$6:$P$370)," / ",SUMIF($E$6:$E$370,$E171,$P$6:$P$370))</f>
        <v>0 / 0</v>
      </c>
      <c r="N171" s="28" t="str">
        <f ca="1">CONCATENATE(SUMIF($F$6:$F171,$F171,$P171)," / ",SUMIF($F$6:$F$370,$F171,$P$6:$P$370))</f>
        <v>0 / 0</v>
      </c>
      <c r="O171" s="28" t="str">
        <f t="shared" si="19"/>
        <v>0 / 30</v>
      </c>
      <c r="P171" s="245">
        <v>0</v>
      </c>
      <c r="Q171" s="28"/>
      <c r="R171" s="246">
        <v>0</v>
      </c>
      <c r="S171" s="28" t="str">
        <f>CONCATENATE(SUMIF($E$6:$E171,E171,$R$6:$R$370)," / ",SUMIF($E$6:$E$370,E171,$R$6:$R$370))</f>
        <v>0 / 0</v>
      </c>
      <c r="T171" s="28" t="str">
        <f>CONCATENATE(SUMIF($F$6:$F171,$F171,$R$6:$R$370)," / ",SUMIF($F$6:$F$370,$F171,$R$6:$R$370))</f>
        <v>0 / 0</v>
      </c>
      <c r="U171" s="28" t="str">
        <f>CONCATENATE(SUM($R$6:$R171)," / ",SUM($R$6:$R$370))</f>
        <v>0 / 0</v>
      </c>
    </row>
    <row r="172" spans="2:21" ht="13" thickBot="1">
      <c r="B172" s="28"/>
      <c r="C172" s="237">
        <f t="shared" si="20"/>
        <v>42536</v>
      </c>
      <c r="D172" s="35" t="str">
        <f t="shared" si="21"/>
        <v>Mercredi</v>
      </c>
      <c r="E172" s="124">
        <f t="shared" si="17"/>
        <v>25</v>
      </c>
      <c r="F172" s="124">
        <f t="shared" si="18"/>
        <v>6</v>
      </c>
      <c r="G172" s="27"/>
      <c r="H172" s="28" t="str">
        <f>CONCATENATE(SUMIF($E$6:$E172,$E172,$K$6:$K$370)," / ",SUMIF($E$6:$E$370,$E172,$K$6:$K536))</f>
        <v>0 / 0</v>
      </c>
      <c r="I172" s="28" t="str">
        <f>CONCATENATE(SUMIF($F$6:$F172,$F172,$K$6:$K536)," / ",SUMIF($F$6:$F$370,$F172,$K$6:$K536))</f>
        <v>0 / 0</v>
      </c>
      <c r="J172" s="28" t="str">
        <f>CONCATENATE(SUM($K$6:$K172)," / ",SUM($K$6:$K$370))</f>
        <v>180,895 / 180,895</v>
      </c>
      <c r="K172" s="245">
        <v>0</v>
      </c>
      <c r="L172" s="28"/>
      <c r="M172" s="28" t="str">
        <f>CONCATENATE(SUMIF($E$6:$E172,$E172,$P$6:$P$370)," / ",SUMIF($E$6:$E$370,$E172,$P$6:$P$370))</f>
        <v>0 / 0</v>
      </c>
      <c r="N172" s="28" t="str">
        <f ca="1">CONCATENATE(SUMIF($F$6:$F172,$F172,$P172)," / ",SUMIF($F$6:$F$370,$F172,$P$6:$P$370))</f>
        <v>0 / 0</v>
      </c>
      <c r="O172" s="28" t="str">
        <f t="shared" si="19"/>
        <v>0 / 30</v>
      </c>
      <c r="P172" s="245">
        <v>0</v>
      </c>
      <c r="Q172" s="28"/>
      <c r="R172" s="246">
        <v>0</v>
      </c>
      <c r="S172" s="28" t="str">
        <f>CONCATENATE(SUMIF($E$6:$E172,E172,$R$6:$R$370)," / ",SUMIF($E$6:$E$370,E172,$R$6:$R$370))</f>
        <v>0 / 0</v>
      </c>
      <c r="T172" s="28" t="str">
        <f>CONCATENATE(SUMIF($F$6:$F172,$F172,$R$6:$R$370)," / ",SUMIF($F$6:$F$370,$F172,$R$6:$R$370))</f>
        <v>0 / 0</v>
      </c>
      <c r="U172" s="28" t="str">
        <f>CONCATENATE(SUM($R$6:$R172)," / ",SUM($R$6:$R$370))</f>
        <v>0 / 0</v>
      </c>
    </row>
    <row r="173" spans="2:21" ht="13" thickBot="1">
      <c r="B173" s="28"/>
      <c r="C173" s="237">
        <f t="shared" si="20"/>
        <v>42537</v>
      </c>
      <c r="D173" s="35" t="str">
        <f t="shared" si="21"/>
        <v>Jeudi</v>
      </c>
      <c r="E173" s="124">
        <f t="shared" si="17"/>
        <v>25</v>
      </c>
      <c r="F173" s="124">
        <f t="shared" si="18"/>
        <v>6</v>
      </c>
      <c r="G173" s="27"/>
      <c r="H173" s="28" t="str">
        <f>CONCATENATE(SUMIF($E$6:$E173,$E173,$K$6:$K$370)," / ",SUMIF($E$6:$E$370,$E173,$K$6:$K537))</f>
        <v>0 / 0</v>
      </c>
      <c r="I173" s="28" t="str">
        <f>CONCATENATE(SUMIF($F$6:$F173,$F173,$K$6:$K537)," / ",SUMIF($F$6:$F$370,$F173,$K$6:$K537))</f>
        <v>0 / 0</v>
      </c>
      <c r="J173" s="28" t="str">
        <f>CONCATENATE(SUM($K$6:$K173)," / ",SUM($K$6:$K$370))</f>
        <v>180,895 / 180,895</v>
      </c>
      <c r="K173" s="245">
        <v>0</v>
      </c>
      <c r="L173" s="28"/>
      <c r="M173" s="28" t="str">
        <f>CONCATENATE(SUMIF($E$6:$E173,$E173,$P$6:$P$370)," / ",SUMIF($E$6:$E$370,$E173,$P$6:$P$370))</f>
        <v>0 / 0</v>
      </c>
      <c r="N173" s="28" t="str">
        <f ca="1">CONCATENATE(SUMIF($F$6:$F173,$F173,$P173)," / ",SUMIF($F$6:$F$370,$F173,$P$6:$P$370))</f>
        <v>0 / 0</v>
      </c>
      <c r="O173" s="28" t="str">
        <f t="shared" si="19"/>
        <v>0 / 30</v>
      </c>
      <c r="P173" s="245">
        <v>0</v>
      </c>
      <c r="Q173" s="28"/>
      <c r="R173" s="246">
        <v>0</v>
      </c>
      <c r="S173" s="28" t="str">
        <f>CONCATENATE(SUMIF($E$6:$E173,E173,$R$6:$R$370)," / ",SUMIF($E$6:$E$370,E173,$R$6:$R$370))</f>
        <v>0 / 0</v>
      </c>
      <c r="T173" s="28" t="str">
        <f>CONCATENATE(SUMIF($F$6:$F173,$F173,$R$6:$R$370)," / ",SUMIF($F$6:$F$370,$F173,$R$6:$R$370))</f>
        <v>0 / 0</v>
      </c>
      <c r="U173" s="28" t="str">
        <f>CONCATENATE(SUM($R$6:$R173)," / ",SUM($R$6:$R$370))</f>
        <v>0 / 0</v>
      </c>
    </row>
    <row r="174" spans="2:21" ht="13" thickBot="1">
      <c r="B174" s="28"/>
      <c r="C174" s="237">
        <f t="shared" si="20"/>
        <v>42538</v>
      </c>
      <c r="D174" s="35" t="str">
        <f t="shared" si="21"/>
        <v>Vendredi</v>
      </c>
      <c r="E174" s="124">
        <f t="shared" si="17"/>
        <v>25</v>
      </c>
      <c r="F174" s="124">
        <f t="shared" si="18"/>
        <v>6</v>
      </c>
      <c r="G174" s="27"/>
      <c r="H174" s="28" t="str">
        <f>CONCATENATE(SUMIF($E$6:$E174,$E174,$K$6:$K$370)," / ",SUMIF($E$6:$E$370,$E174,$K$6:$K538))</f>
        <v>0 / 0</v>
      </c>
      <c r="I174" s="28" t="str">
        <f>CONCATENATE(SUMIF($F$6:$F174,$F174,$K$6:$K538)," / ",SUMIF($F$6:$F$370,$F174,$K$6:$K538))</f>
        <v>0 / 0</v>
      </c>
      <c r="J174" s="28" t="str">
        <f>CONCATENATE(SUM($K$6:$K174)," / ",SUM($K$6:$K$370))</f>
        <v>180,895 / 180,895</v>
      </c>
      <c r="K174" s="245">
        <v>0</v>
      </c>
      <c r="L174" s="28"/>
      <c r="M174" s="28" t="str">
        <f>CONCATENATE(SUMIF($E$6:$E174,$E174,$P$6:$P$370)," / ",SUMIF($E$6:$E$370,$E174,$P$6:$P$370))</f>
        <v>0 / 0</v>
      </c>
      <c r="N174" s="28" t="str">
        <f ca="1">CONCATENATE(SUMIF($F$6:$F174,$F174,$P174)," / ",SUMIF($F$6:$F$370,$F174,$P$6:$P$370))</f>
        <v>0 / 0</v>
      </c>
      <c r="O174" s="28" t="str">
        <f t="shared" si="19"/>
        <v>0 / 30</v>
      </c>
      <c r="P174" s="245">
        <v>0</v>
      </c>
      <c r="Q174" s="28"/>
      <c r="R174" s="246">
        <v>0</v>
      </c>
      <c r="S174" s="28" t="str">
        <f>CONCATENATE(SUMIF($E$6:$E174,E174,$R$6:$R$370)," / ",SUMIF($E$6:$E$370,E174,$R$6:$R$370))</f>
        <v>0 / 0</v>
      </c>
      <c r="T174" s="28" t="str">
        <f>CONCATENATE(SUMIF($F$6:$F174,$F174,$R$6:$R$370)," / ",SUMIF($F$6:$F$370,$F174,$R$6:$R$370))</f>
        <v>0 / 0</v>
      </c>
      <c r="U174" s="28" t="str">
        <f>CONCATENATE(SUM($R$6:$R174)," / ",SUM($R$6:$R$370))</f>
        <v>0 / 0</v>
      </c>
    </row>
    <row r="175" spans="2:21" ht="13" thickBot="1">
      <c r="B175" s="28"/>
      <c r="C175" s="237">
        <f t="shared" si="20"/>
        <v>42539</v>
      </c>
      <c r="D175" s="35" t="str">
        <f t="shared" si="21"/>
        <v>samedi</v>
      </c>
      <c r="E175" s="124">
        <f t="shared" si="17"/>
        <v>25</v>
      </c>
      <c r="F175" s="124">
        <f t="shared" si="18"/>
        <v>6</v>
      </c>
      <c r="G175" s="27"/>
      <c r="H175" s="28" t="str">
        <f>CONCATENATE(SUMIF($E$6:$E175,$E175,$K$6:$K$370)," / ",SUMIF($E$6:$E$370,$E175,$K$6:$K539))</f>
        <v>0 / 0</v>
      </c>
      <c r="I175" s="28" t="str">
        <f>CONCATENATE(SUMIF($F$6:$F175,$F175,$K$6:$K539)," / ",SUMIF($F$6:$F$370,$F175,$K$6:$K539))</f>
        <v>0 / 0</v>
      </c>
      <c r="J175" s="28" t="str">
        <f>CONCATENATE(SUM($K$6:$K175)," / ",SUM($K$6:$K$370))</f>
        <v>180,895 / 180,895</v>
      </c>
      <c r="K175" s="245">
        <v>0</v>
      </c>
      <c r="L175" s="28"/>
      <c r="M175" s="28" t="str">
        <f>CONCATENATE(SUMIF($E$6:$E175,$E175,$P$6:$P$370)," / ",SUMIF($E$6:$E$370,$E175,$P$6:$P$370))</f>
        <v>0 / 0</v>
      </c>
      <c r="N175" s="28" t="str">
        <f ca="1">CONCATENATE(SUMIF($F$6:$F175,$F175,$P175)," / ",SUMIF($F$6:$F$370,$F175,$P$6:$P$370))</f>
        <v>0 / 0</v>
      </c>
      <c r="O175" s="28" t="str">
        <f t="shared" si="19"/>
        <v>0 / 30</v>
      </c>
      <c r="P175" s="245">
        <v>0</v>
      </c>
      <c r="Q175" s="28"/>
      <c r="R175" s="246">
        <v>0</v>
      </c>
      <c r="S175" s="28" t="str">
        <f>CONCATENATE(SUMIF($E$6:$E175,E175,$R$6:$R$370)," / ",SUMIF($E$6:$E$370,E175,$R$6:$R$370))</f>
        <v>0 / 0</v>
      </c>
      <c r="T175" s="28" t="str">
        <f>CONCATENATE(SUMIF($F$6:$F175,$F175,$R$6:$R$370)," / ",SUMIF($F$6:$F$370,$F175,$R$6:$R$370))</f>
        <v>0 / 0</v>
      </c>
      <c r="U175" s="28" t="str">
        <f>CONCATENATE(SUM($R$6:$R175)," / ",SUM($R$6:$R$370))</f>
        <v>0 / 0</v>
      </c>
    </row>
    <row r="176" spans="2:21" ht="13" thickBot="1">
      <c r="B176" s="28"/>
      <c r="C176" s="237">
        <f t="shared" si="20"/>
        <v>42540</v>
      </c>
      <c r="D176" s="35" t="str">
        <f t="shared" si="21"/>
        <v>Dimanche</v>
      </c>
      <c r="E176" s="124">
        <f t="shared" si="17"/>
        <v>26</v>
      </c>
      <c r="F176" s="124">
        <f t="shared" si="18"/>
        <v>6</v>
      </c>
      <c r="G176" s="27"/>
      <c r="H176" s="28" t="str">
        <f>CONCATENATE(SUMIF($E$6:$E176,$E176,$K$6:$K$370)," / ",SUMIF($E$6:$E$370,$E176,$K$6:$K540))</f>
        <v>0 / 0</v>
      </c>
      <c r="I176" s="28" t="str">
        <f>CONCATENATE(SUMIF($F$6:$F176,$F176,$K$6:$K540)," / ",SUMIF($F$6:$F$370,$F176,$K$6:$K540))</f>
        <v>0 / 0</v>
      </c>
      <c r="J176" s="28" t="str">
        <f>CONCATENATE(SUM($K$6:$K176)," / ",SUM($K$6:$K$370))</f>
        <v>180,895 / 180,895</v>
      </c>
      <c r="K176" s="245">
        <v>0</v>
      </c>
      <c r="L176" s="28"/>
      <c r="M176" s="28" t="str">
        <f>CONCATENATE(SUMIF($E$6:$E176,$E176,$P$6:$P$370)," / ",SUMIF($E$6:$E$370,$E176,$P$6:$P$370))</f>
        <v>0 / 0</v>
      </c>
      <c r="N176" s="28" t="str">
        <f ca="1">CONCATENATE(SUMIF($F$6:$F176,$F176,$P176)," / ",SUMIF($F$6:$F$370,$F176,$P$6:$P$370))</f>
        <v>0 / 0</v>
      </c>
      <c r="O176" s="28" t="str">
        <f t="shared" si="19"/>
        <v>0 / 30</v>
      </c>
      <c r="P176" s="245">
        <v>0</v>
      </c>
      <c r="Q176" s="28"/>
      <c r="R176" s="246">
        <v>0</v>
      </c>
      <c r="S176" s="28" t="str">
        <f>CONCATENATE(SUMIF($E$6:$E176,E176,$R$6:$R$370)," / ",SUMIF($E$6:$E$370,E176,$R$6:$R$370))</f>
        <v>0 / 0</v>
      </c>
      <c r="T176" s="28" t="str">
        <f>CONCATENATE(SUMIF($F$6:$F176,$F176,$R$6:$R$370)," / ",SUMIF($F$6:$F$370,$F176,$R$6:$R$370))</f>
        <v>0 / 0</v>
      </c>
      <c r="U176" s="28" t="str">
        <f>CONCATENATE(SUM($R$6:$R176)," / ",SUM($R$6:$R$370))</f>
        <v>0 / 0</v>
      </c>
    </row>
    <row r="177" spans="2:21" ht="13" thickBot="1">
      <c r="B177" s="28"/>
      <c r="C177" s="237">
        <f t="shared" si="20"/>
        <v>42541</v>
      </c>
      <c r="D177" s="35" t="str">
        <f t="shared" si="21"/>
        <v>Lundi</v>
      </c>
      <c r="E177" s="124">
        <f t="shared" si="17"/>
        <v>26</v>
      </c>
      <c r="F177" s="124">
        <f t="shared" si="18"/>
        <v>6</v>
      </c>
      <c r="G177" s="27"/>
      <c r="H177" s="28" t="str">
        <f>CONCATENATE(SUMIF($E$6:$E177,$E177,$K$6:$K$370)," / ",SUMIF($E$6:$E$370,$E177,$K$6:$K541))</f>
        <v>0 / 0</v>
      </c>
      <c r="I177" s="28" t="str">
        <f>CONCATENATE(SUMIF($F$6:$F177,$F177,$K$6:$K541)," / ",SUMIF($F$6:$F$370,$F177,$K$6:$K541))</f>
        <v>0 / 0</v>
      </c>
      <c r="J177" s="28" t="str">
        <f>CONCATENATE(SUM($K$6:$K177)," / ",SUM($K$6:$K$370))</f>
        <v>180,895 / 180,895</v>
      </c>
      <c r="K177" s="245">
        <v>0</v>
      </c>
      <c r="L177" s="28"/>
      <c r="M177" s="28" t="str">
        <f>CONCATENATE(SUMIF($E$6:$E177,$E177,$P$6:$P$370)," / ",SUMIF($E$6:$E$370,$E177,$P$6:$P$370))</f>
        <v>0 / 0</v>
      </c>
      <c r="N177" s="28" t="str">
        <f ca="1">CONCATENATE(SUMIF($F$6:$F177,$F177,$P177)," / ",SUMIF($F$6:$F$370,$F177,$P$6:$P$370))</f>
        <v>0 / 0</v>
      </c>
      <c r="O177" s="28" t="str">
        <f t="shared" si="19"/>
        <v>0 / 30</v>
      </c>
      <c r="P177" s="245">
        <v>0</v>
      </c>
      <c r="Q177" s="28"/>
      <c r="R177" s="246">
        <v>0</v>
      </c>
      <c r="S177" s="28" t="str">
        <f>CONCATENATE(SUMIF($E$6:$E177,E177,$R$6:$R$370)," / ",SUMIF($E$6:$E$370,E177,$R$6:$R$370))</f>
        <v>0 / 0</v>
      </c>
      <c r="T177" s="28" t="str">
        <f>CONCATENATE(SUMIF($F$6:$F177,$F177,$R$6:$R$370)," / ",SUMIF($F$6:$F$370,$F177,$R$6:$R$370))</f>
        <v>0 / 0</v>
      </c>
      <c r="U177" s="28" t="str">
        <f>CONCATENATE(SUM($R$6:$R177)," / ",SUM($R$6:$R$370))</f>
        <v>0 / 0</v>
      </c>
    </row>
    <row r="178" spans="2:21" ht="13" thickBot="1">
      <c r="B178" s="28"/>
      <c r="C178" s="237">
        <f t="shared" si="20"/>
        <v>42542</v>
      </c>
      <c r="D178" s="35" t="str">
        <f t="shared" si="21"/>
        <v>Mardi</v>
      </c>
      <c r="E178" s="124">
        <f t="shared" si="17"/>
        <v>26</v>
      </c>
      <c r="F178" s="124">
        <f t="shared" si="18"/>
        <v>6</v>
      </c>
      <c r="G178" s="27"/>
      <c r="H178" s="28" t="str">
        <f>CONCATENATE(SUMIF($E$6:$E178,$E178,$K$6:$K$370)," / ",SUMIF($E$6:$E$370,$E178,$K$6:$K542))</f>
        <v>0 / 0</v>
      </c>
      <c r="I178" s="28" t="str">
        <f>CONCATENATE(SUMIF($F$6:$F178,$F178,$K$6:$K542)," / ",SUMIF($F$6:$F$370,$F178,$K$6:$K542))</f>
        <v>0 / 0</v>
      </c>
      <c r="J178" s="28" t="str">
        <f>CONCATENATE(SUM($K$6:$K178)," / ",SUM($K$6:$K$370))</f>
        <v>180,895 / 180,895</v>
      </c>
      <c r="K178" s="245">
        <v>0</v>
      </c>
      <c r="L178" s="28"/>
      <c r="M178" s="28" t="str">
        <f>CONCATENATE(SUMIF($E$6:$E178,$E178,$P$6:$P$370)," / ",SUMIF($E$6:$E$370,$E178,$P$6:$P$370))</f>
        <v>0 / 0</v>
      </c>
      <c r="N178" s="28" t="str">
        <f ca="1">CONCATENATE(SUMIF($F$6:$F178,$F178,$P178)," / ",SUMIF($F$6:$F$370,$F178,$P$6:$P$370))</f>
        <v>0 / 0</v>
      </c>
      <c r="O178" s="28" t="str">
        <f t="shared" si="19"/>
        <v>0 / 30</v>
      </c>
      <c r="P178" s="245">
        <v>0</v>
      </c>
      <c r="Q178" s="28"/>
      <c r="R178" s="246">
        <v>0</v>
      </c>
      <c r="S178" s="28" t="str">
        <f>CONCATENATE(SUMIF($E$6:$E178,E178,$R$6:$R$370)," / ",SUMIF($E$6:$E$370,E178,$R$6:$R$370))</f>
        <v>0 / 0</v>
      </c>
      <c r="T178" s="28" t="str">
        <f>CONCATENATE(SUMIF($F$6:$F178,$F178,$R$6:$R$370)," / ",SUMIF($F$6:$F$370,$F178,$R$6:$R$370))</f>
        <v>0 / 0</v>
      </c>
      <c r="U178" s="28" t="str">
        <f>CONCATENATE(SUM($R$6:$R178)," / ",SUM($R$6:$R$370))</f>
        <v>0 / 0</v>
      </c>
    </row>
    <row r="179" spans="2:21" ht="13" thickBot="1">
      <c r="B179" s="28"/>
      <c r="C179" s="237">
        <f t="shared" si="20"/>
        <v>42543</v>
      </c>
      <c r="D179" s="35" t="str">
        <f t="shared" si="21"/>
        <v>Mercredi</v>
      </c>
      <c r="E179" s="124">
        <f t="shared" si="17"/>
        <v>26</v>
      </c>
      <c r="F179" s="124">
        <f t="shared" si="18"/>
        <v>6</v>
      </c>
      <c r="G179" s="27"/>
      <c r="H179" s="28" t="str">
        <f>CONCATENATE(SUMIF($E$6:$E179,$E179,$K$6:$K$370)," / ",SUMIF($E$6:$E$370,$E179,$K$6:$K543))</f>
        <v>0 / 0</v>
      </c>
      <c r="I179" s="28" t="str">
        <f>CONCATENATE(SUMIF($F$6:$F179,$F179,$K$6:$K543)," / ",SUMIF($F$6:$F$370,$F179,$K$6:$K543))</f>
        <v>0 / 0</v>
      </c>
      <c r="J179" s="28" t="str">
        <f>CONCATENATE(SUM($K$6:$K179)," / ",SUM($K$6:$K$370))</f>
        <v>180,895 / 180,895</v>
      </c>
      <c r="K179" s="245">
        <v>0</v>
      </c>
      <c r="L179" s="28"/>
      <c r="M179" s="28" t="str">
        <f>CONCATENATE(SUMIF($E$6:$E179,$E179,$P$6:$P$370)," / ",SUMIF($E$6:$E$370,$E179,$P$6:$P$370))</f>
        <v>0 / 0</v>
      </c>
      <c r="N179" s="28" t="str">
        <f ca="1">CONCATENATE(SUMIF($F$6:$F179,$F179,$P179)," / ",SUMIF($F$6:$F$370,$F179,$P$6:$P$370))</f>
        <v>0 / 0</v>
      </c>
      <c r="O179" s="28" t="str">
        <f t="shared" si="19"/>
        <v>0 / 30</v>
      </c>
      <c r="P179" s="245">
        <v>0</v>
      </c>
      <c r="Q179" s="28"/>
      <c r="R179" s="246">
        <v>0</v>
      </c>
      <c r="S179" s="28" t="str">
        <f>CONCATENATE(SUMIF($E$6:$E179,E179,$R$6:$R$370)," / ",SUMIF($E$6:$E$370,E179,$R$6:$R$370))</f>
        <v>0 / 0</v>
      </c>
      <c r="T179" s="28" t="str">
        <f>CONCATENATE(SUMIF($F$6:$F179,$F179,$R$6:$R$370)," / ",SUMIF($F$6:$F$370,$F179,$R$6:$R$370))</f>
        <v>0 / 0</v>
      </c>
      <c r="U179" s="28" t="str">
        <f>CONCATENATE(SUM($R$6:$R179)," / ",SUM($R$6:$R$370))</f>
        <v>0 / 0</v>
      </c>
    </row>
    <row r="180" spans="2:21" ht="13" thickBot="1">
      <c r="B180" s="28"/>
      <c r="C180" s="237">
        <f t="shared" si="20"/>
        <v>42544</v>
      </c>
      <c r="D180" s="35" t="str">
        <f t="shared" si="21"/>
        <v>Jeudi</v>
      </c>
      <c r="E180" s="124">
        <f t="shared" si="17"/>
        <v>26</v>
      </c>
      <c r="F180" s="124">
        <f t="shared" si="18"/>
        <v>6</v>
      </c>
      <c r="G180" s="27"/>
      <c r="H180" s="28" t="str">
        <f>CONCATENATE(SUMIF($E$6:$E180,$E180,$K$6:$K$370)," / ",SUMIF($E$6:$E$370,$E180,$K$6:$K544))</f>
        <v>0 / 0</v>
      </c>
      <c r="I180" s="28" t="str">
        <f>CONCATENATE(SUMIF($F$6:$F180,$F180,$K$6:$K544)," / ",SUMIF($F$6:$F$370,$F180,$K$6:$K544))</f>
        <v>0 / 0</v>
      </c>
      <c r="J180" s="28" t="str">
        <f>CONCATENATE(SUM($K$6:$K180)," / ",SUM($K$6:$K$370))</f>
        <v>180,895 / 180,895</v>
      </c>
      <c r="K180" s="245">
        <v>0</v>
      </c>
      <c r="L180" s="28"/>
      <c r="M180" s="28" t="str">
        <f>CONCATENATE(SUMIF($E$6:$E180,$E180,$P$6:$P$370)," / ",SUMIF($E$6:$E$370,$E180,$P$6:$P$370))</f>
        <v>0 / 0</v>
      </c>
      <c r="N180" s="28" t="str">
        <f ca="1">CONCATENATE(SUMIF($F$6:$F180,$F180,$P180)," / ",SUMIF($F$6:$F$370,$F180,$P$6:$P$370))</f>
        <v>0 / 0</v>
      </c>
      <c r="O180" s="28" t="str">
        <f t="shared" si="19"/>
        <v>0 / 30</v>
      </c>
      <c r="P180" s="245">
        <v>0</v>
      </c>
      <c r="Q180" s="28"/>
      <c r="R180" s="246">
        <v>0</v>
      </c>
      <c r="S180" s="28" t="str">
        <f>CONCATENATE(SUMIF($E$6:$E180,E180,$R$6:$R$370)," / ",SUMIF($E$6:$E$370,E180,$R$6:$R$370))</f>
        <v>0 / 0</v>
      </c>
      <c r="T180" s="28" t="str">
        <f>CONCATENATE(SUMIF($F$6:$F180,$F180,$R$6:$R$370)," / ",SUMIF($F$6:$F$370,$F180,$R$6:$R$370))</f>
        <v>0 / 0</v>
      </c>
      <c r="U180" s="28" t="str">
        <f>CONCATENATE(SUM($R$6:$R180)," / ",SUM($R$6:$R$370))</f>
        <v>0 / 0</v>
      </c>
    </row>
    <row r="181" spans="2:21" ht="13" thickBot="1">
      <c r="B181" s="28"/>
      <c r="C181" s="237">
        <f t="shared" si="20"/>
        <v>42545</v>
      </c>
      <c r="D181" s="35" t="str">
        <f t="shared" si="21"/>
        <v>Vendredi</v>
      </c>
      <c r="E181" s="124">
        <f t="shared" si="17"/>
        <v>26</v>
      </c>
      <c r="F181" s="124">
        <f t="shared" si="18"/>
        <v>6</v>
      </c>
      <c r="G181" s="27"/>
      <c r="H181" s="28" t="str">
        <f>CONCATENATE(SUMIF($E$6:$E181,$E181,$K$6:$K$370)," / ",SUMIF($E$6:$E$370,$E181,$K$6:$K545))</f>
        <v>0 / 0</v>
      </c>
      <c r="I181" s="28" t="str">
        <f>CONCATENATE(SUMIF($F$6:$F181,$F181,$K$6:$K545)," / ",SUMIF($F$6:$F$370,$F181,$K$6:$K545))</f>
        <v>0 / 0</v>
      </c>
      <c r="J181" s="28" t="str">
        <f>CONCATENATE(SUM($K$6:$K181)," / ",SUM($K$6:$K$370))</f>
        <v>180,895 / 180,895</v>
      </c>
      <c r="K181" s="245">
        <v>0</v>
      </c>
      <c r="L181" s="28"/>
      <c r="M181" s="28" t="str">
        <f>CONCATENATE(SUMIF($E$6:$E181,$E181,$P$6:$P$370)," / ",SUMIF($E$6:$E$370,$E181,$P$6:$P$370))</f>
        <v>0 / 0</v>
      </c>
      <c r="N181" s="28" t="str">
        <f ca="1">CONCATENATE(SUMIF($F$6:$F181,$F181,$P181)," / ",SUMIF($F$6:$F$370,$F181,$P$6:$P$370))</f>
        <v>0 / 0</v>
      </c>
      <c r="O181" s="28" t="str">
        <f t="shared" si="19"/>
        <v>0 / 30</v>
      </c>
      <c r="P181" s="245">
        <v>0</v>
      </c>
      <c r="Q181" s="28"/>
      <c r="R181" s="246">
        <v>0</v>
      </c>
      <c r="S181" s="28" t="str">
        <f>CONCATENATE(SUMIF($E$6:$E181,E181,$R$6:$R$370)," / ",SUMIF($E$6:$E$370,E181,$R$6:$R$370))</f>
        <v>0 / 0</v>
      </c>
      <c r="T181" s="28" t="str">
        <f>CONCATENATE(SUMIF($F$6:$F181,$F181,$R$6:$R$370)," / ",SUMIF($F$6:$F$370,$F181,$R$6:$R$370))</f>
        <v>0 / 0</v>
      </c>
      <c r="U181" s="28" t="str">
        <f>CONCATENATE(SUM($R$6:$R181)," / ",SUM($R$6:$R$370))</f>
        <v>0 / 0</v>
      </c>
    </row>
    <row r="182" spans="2:21" ht="13" thickBot="1">
      <c r="B182" s="28"/>
      <c r="C182" s="237">
        <f t="shared" si="20"/>
        <v>42546</v>
      </c>
      <c r="D182" s="35" t="str">
        <f t="shared" si="21"/>
        <v>samedi</v>
      </c>
      <c r="E182" s="124">
        <f t="shared" si="17"/>
        <v>26</v>
      </c>
      <c r="F182" s="124">
        <f t="shared" si="18"/>
        <v>6</v>
      </c>
      <c r="G182" s="27"/>
      <c r="H182" s="28" t="str">
        <f>CONCATENATE(SUMIF($E$6:$E182,$E182,$K$6:$K$370)," / ",SUMIF($E$6:$E$370,$E182,$K$6:$K546))</f>
        <v>0 / 0</v>
      </c>
      <c r="I182" s="28" t="str">
        <f>CONCATENATE(SUMIF($F$6:$F182,$F182,$K$6:$K546)," / ",SUMIF($F$6:$F$370,$F182,$K$6:$K546))</f>
        <v>0 / 0</v>
      </c>
      <c r="J182" s="28" t="str">
        <f>CONCATENATE(SUM($K$6:$K182)," / ",SUM($K$6:$K$370))</f>
        <v>180,895 / 180,895</v>
      </c>
      <c r="K182" s="245">
        <v>0</v>
      </c>
      <c r="L182" s="28"/>
      <c r="M182" s="28" t="str">
        <f>CONCATENATE(SUMIF($E$6:$E182,$E182,$P$6:$P$370)," / ",SUMIF($E$6:$E$370,$E182,$P$6:$P$370))</f>
        <v>0 / 0</v>
      </c>
      <c r="N182" s="28" t="str">
        <f ca="1">CONCATENATE(SUMIF($F$6:$F182,$F182,$P182)," / ",SUMIF($F$6:$F$370,$F182,$P$6:$P$370))</f>
        <v>0 / 0</v>
      </c>
      <c r="O182" s="28" t="str">
        <f t="shared" si="19"/>
        <v>0 / 30</v>
      </c>
      <c r="P182" s="245">
        <v>0</v>
      </c>
      <c r="Q182" s="28"/>
      <c r="R182" s="246">
        <v>0</v>
      </c>
      <c r="S182" s="28" t="str">
        <f>CONCATENATE(SUMIF($E$6:$E182,E182,$R$6:$R$370)," / ",SUMIF($E$6:$E$370,E182,$R$6:$R$370))</f>
        <v>0 / 0</v>
      </c>
      <c r="T182" s="28" t="str">
        <f>CONCATENATE(SUMIF($F$6:$F182,$F182,$R$6:$R$370)," / ",SUMIF($F$6:$F$370,$F182,$R$6:$R$370))</f>
        <v>0 / 0</v>
      </c>
      <c r="U182" s="28" t="str">
        <f>CONCATENATE(SUM($R$6:$R182)," / ",SUM($R$6:$R$370))</f>
        <v>0 / 0</v>
      </c>
    </row>
    <row r="183" spans="2:21" ht="13" thickBot="1">
      <c r="B183" s="28"/>
      <c r="C183" s="237">
        <f t="shared" si="20"/>
        <v>42547</v>
      </c>
      <c r="D183" s="35" t="str">
        <f t="shared" si="21"/>
        <v>Dimanche</v>
      </c>
      <c r="E183" s="124">
        <f t="shared" si="17"/>
        <v>27</v>
      </c>
      <c r="F183" s="124">
        <f t="shared" si="18"/>
        <v>6</v>
      </c>
      <c r="G183" s="27"/>
      <c r="H183" s="28" t="str">
        <f>CONCATENATE(SUMIF($E$6:$E183,$E183,$K$6:$K$370)," / ",SUMIF($E$6:$E$370,$E183,$K$6:$K547))</f>
        <v>0 / 0</v>
      </c>
      <c r="I183" s="28" t="str">
        <f>CONCATENATE(SUMIF($F$6:$F183,$F183,$K$6:$K547)," / ",SUMIF($F$6:$F$370,$F183,$K$6:$K547))</f>
        <v>0 / 0</v>
      </c>
      <c r="J183" s="28" t="str">
        <f>CONCATENATE(SUM($K$6:$K183)," / ",SUM($K$6:$K$370))</f>
        <v>180,895 / 180,895</v>
      </c>
      <c r="K183" s="245">
        <v>0</v>
      </c>
      <c r="L183" s="28"/>
      <c r="M183" s="28" t="str">
        <f>CONCATENATE(SUMIF($E$6:$E183,$E183,$P$6:$P$370)," / ",SUMIF($E$6:$E$370,$E183,$P$6:$P$370))</f>
        <v>0 / 0</v>
      </c>
      <c r="N183" s="28" t="str">
        <f ca="1">CONCATENATE(SUMIF($F$6:$F183,$F183,$P183)," / ",SUMIF($F$6:$F$370,$F183,$P$6:$P$370))</f>
        <v>0 / 0</v>
      </c>
      <c r="O183" s="28" t="str">
        <f t="shared" si="19"/>
        <v>0 / 30</v>
      </c>
      <c r="P183" s="245">
        <v>0</v>
      </c>
      <c r="Q183" s="28"/>
      <c r="R183" s="246">
        <v>0</v>
      </c>
      <c r="S183" s="28" t="str">
        <f>CONCATENATE(SUMIF($E$6:$E183,E183,$R$6:$R$370)," / ",SUMIF($E$6:$E$370,E183,$R$6:$R$370))</f>
        <v>0 / 0</v>
      </c>
      <c r="T183" s="28" t="str">
        <f>CONCATENATE(SUMIF($F$6:$F183,$F183,$R$6:$R$370)," / ",SUMIF($F$6:$F$370,$F183,$R$6:$R$370))</f>
        <v>0 / 0</v>
      </c>
      <c r="U183" s="28" t="str">
        <f>CONCATENATE(SUM($R$6:$R183)," / ",SUM($R$6:$R$370))</f>
        <v>0 / 0</v>
      </c>
    </row>
    <row r="184" spans="2:21" ht="13" thickBot="1">
      <c r="B184" s="28"/>
      <c r="C184" s="237">
        <f t="shared" si="20"/>
        <v>42548</v>
      </c>
      <c r="D184" s="35" t="str">
        <f t="shared" si="21"/>
        <v>Lundi</v>
      </c>
      <c r="E184" s="124">
        <f t="shared" si="17"/>
        <v>27</v>
      </c>
      <c r="F184" s="124">
        <f t="shared" si="18"/>
        <v>6</v>
      </c>
      <c r="G184" s="27"/>
      <c r="H184" s="28" t="str">
        <f>CONCATENATE(SUMIF($E$6:$E184,$E184,$K$6:$K$370)," / ",SUMIF($E$6:$E$370,$E184,$K$6:$K548))</f>
        <v>0 / 0</v>
      </c>
      <c r="I184" s="28" t="str">
        <f>CONCATENATE(SUMIF($F$6:$F184,$F184,$K$6:$K548)," / ",SUMIF($F$6:$F$370,$F184,$K$6:$K548))</f>
        <v>0 / 0</v>
      </c>
      <c r="J184" s="28" t="str">
        <f>CONCATENATE(SUM($K$6:$K184)," / ",SUM($K$6:$K$370))</f>
        <v>180,895 / 180,895</v>
      </c>
      <c r="K184" s="245">
        <v>0</v>
      </c>
      <c r="L184" s="28"/>
      <c r="M184" s="28" t="str">
        <f>CONCATENATE(SUMIF($E$6:$E184,$E184,$P$6:$P$370)," / ",SUMIF($E$6:$E$370,$E184,$P$6:$P$370))</f>
        <v>0 / 0</v>
      </c>
      <c r="N184" s="28" t="str">
        <f ca="1">CONCATENATE(SUMIF($F$6:$F184,$F184,$P184)," / ",SUMIF($F$6:$F$370,$F184,$P$6:$P$370))</f>
        <v>0 / 0</v>
      </c>
      <c r="O184" s="28" t="str">
        <f t="shared" si="19"/>
        <v>0 / 30</v>
      </c>
      <c r="P184" s="245">
        <v>0</v>
      </c>
      <c r="Q184" s="28"/>
      <c r="R184" s="246">
        <v>0</v>
      </c>
      <c r="S184" s="28" t="str">
        <f>CONCATENATE(SUMIF($E$6:$E184,E184,$R$6:$R$370)," / ",SUMIF($E$6:$E$370,E184,$R$6:$R$370))</f>
        <v>0 / 0</v>
      </c>
      <c r="T184" s="28" t="str">
        <f>CONCATENATE(SUMIF($F$6:$F184,$F184,$R$6:$R$370)," / ",SUMIF($F$6:$F$370,$F184,$R$6:$R$370))</f>
        <v>0 / 0</v>
      </c>
      <c r="U184" s="28" t="str">
        <f>CONCATENATE(SUM($R$6:$R184)," / ",SUM($R$6:$R$370))</f>
        <v>0 / 0</v>
      </c>
    </row>
    <row r="185" spans="2:21" ht="13" thickBot="1">
      <c r="B185" s="28"/>
      <c r="C185" s="237">
        <f t="shared" si="20"/>
        <v>42549</v>
      </c>
      <c r="D185" s="35" t="str">
        <f t="shared" si="21"/>
        <v>Mardi</v>
      </c>
      <c r="E185" s="124">
        <f t="shared" si="17"/>
        <v>27</v>
      </c>
      <c r="F185" s="124">
        <f t="shared" si="18"/>
        <v>6</v>
      </c>
      <c r="G185" s="27"/>
      <c r="H185" s="28" t="str">
        <f>CONCATENATE(SUMIF($E$6:$E185,$E185,$K$6:$K$370)," / ",SUMIF($E$6:$E$370,$E185,$K$6:$K549))</f>
        <v>0 / 0</v>
      </c>
      <c r="I185" s="28" t="str">
        <f>CONCATENATE(SUMIF($F$6:$F185,$F185,$K$6:$K549)," / ",SUMIF($F$6:$F$370,$F185,$K$6:$K549))</f>
        <v>0 / 0</v>
      </c>
      <c r="J185" s="28" t="str">
        <f>CONCATENATE(SUM($K$6:$K185)," / ",SUM($K$6:$K$370))</f>
        <v>180,895 / 180,895</v>
      </c>
      <c r="K185" s="245">
        <v>0</v>
      </c>
      <c r="L185" s="28"/>
      <c r="M185" s="28" t="str">
        <f>CONCATENATE(SUMIF($E$6:$E185,$E185,$P$6:$P$370)," / ",SUMIF($E$6:$E$370,$E185,$P$6:$P$370))</f>
        <v>0 / 0</v>
      </c>
      <c r="N185" s="28" t="str">
        <f ca="1">CONCATENATE(SUMIF($F$6:$F185,$F185,$P185)," / ",SUMIF($F$6:$F$370,$F185,$P$6:$P$370))</f>
        <v>0 / 0</v>
      </c>
      <c r="O185" s="28" t="str">
        <f t="shared" si="19"/>
        <v>0 / 30</v>
      </c>
      <c r="P185" s="245">
        <v>0</v>
      </c>
      <c r="Q185" s="28"/>
      <c r="R185" s="246">
        <v>0</v>
      </c>
      <c r="S185" s="28" t="str">
        <f>CONCATENATE(SUMIF($E$6:$E185,E185,$R$6:$R$370)," / ",SUMIF($E$6:$E$370,E185,$R$6:$R$370))</f>
        <v>0 / 0</v>
      </c>
      <c r="T185" s="28" t="str">
        <f>CONCATENATE(SUMIF($F$6:$F185,$F185,$R$6:$R$370)," / ",SUMIF($F$6:$F$370,$F185,$R$6:$R$370))</f>
        <v>0 / 0</v>
      </c>
      <c r="U185" s="28" t="str">
        <f>CONCATENATE(SUM($R$6:$R185)," / ",SUM($R$6:$R$370))</f>
        <v>0 / 0</v>
      </c>
    </row>
    <row r="186" spans="2:21" ht="13" thickBot="1">
      <c r="B186" s="28"/>
      <c r="C186" s="237">
        <f t="shared" si="20"/>
        <v>42550</v>
      </c>
      <c r="D186" s="35" t="str">
        <f t="shared" si="21"/>
        <v>Mercredi</v>
      </c>
      <c r="E186" s="124">
        <f t="shared" si="17"/>
        <v>27</v>
      </c>
      <c r="F186" s="124">
        <f t="shared" si="18"/>
        <v>6</v>
      </c>
      <c r="G186" s="27"/>
      <c r="H186" s="28" t="str">
        <f>CONCATENATE(SUMIF($E$6:$E186,$E186,$K$6:$K$370)," / ",SUMIF($E$6:$E$370,$E186,$K$6:$K550))</f>
        <v>0 / 0</v>
      </c>
      <c r="I186" s="28" t="str">
        <f>CONCATENATE(SUMIF($F$6:$F186,$F186,$K$6:$K550)," / ",SUMIF($F$6:$F$370,$F186,$K$6:$K550))</f>
        <v>0 / 0</v>
      </c>
      <c r="J186" s="28" t="str">
        <f>CONCATENATE(SUM($K$6:$K186)," / ",SUM($K$6:$K$370))</f>
        <v>180,895 / 180,895</v>
      </c>
      <c r="K186" s="245">
        <v>0</v>
      </c>
      <c r="L186" s="28"/>
      <c r="M186" s="28" t="str">
        <f>CONCATENATE(SUMIF($E$6:$E186,$E186,$P$6:$P$370)," / ",SUMIF($E$6:$E$370,$E186,$P$6:$P$370))</f>
        <v>0 / 0</v>
      </c>
      <c r="N186" s="28" t="str">
        <f ca="1">CONCATENATE(SUMIF($F$6:$F186,$F186,$P186)," / ",SUMIF($F$6:$F$370,$F186,$P$6:$P$370))</f>
        <v>0 / 0</v>
      </c>
      <c r="O186" s="28" t="str">
        <f t="shared" si="19"/>
        <v>0 / 30</v>
      </c>
      <c r="P186" s="245">
        <v>0</v>
      </c>
      <c r="Q186" s="28"/>
      <c r="R186" s="246">
        <v>0</v>
      </c>
      <c r="S186" s="28" t="str">
        <f>CONCATENATE(SUMIF($E$6:$E186,E186,$R$6:$R$370)," / ",SUMIF($E$6:$E$370,E186,$R$6:$R$370))</f>
        <v>0 / 0</v>
      </c>
      <c r="T186" s="28" t="str">
        <f>CONCATENATE(SUMIF($F$6:$F186,$F186,$R$6:$R$370)," / ",SUMIF($F$6:$F$370,$F186,$R$6:$R$370))</f>
        <v>0 / 0</v>
      </c>
      <c r="U186" s="28" t="str">
        <f>CONCATENATE(SUM($R$6:$R186)," / ",SUM($R$6:$R$370))</f>
        <v>0 / 0</v>
      </c>
    </row>
    <row r="187" spans="2:21" ht="13" thickBot="1">
      <c r="B187" s="28"/>
      <c r="C187" s="237">
        <f t="shared" si="20"/>
        <v>42551</v>
      </c>
      <c r="D187" s="35" t="str">
        <f t="shared" si="21"/>
        <v>Jeudi</v>
      </c>
      <c r="E187" s="124">
        <f t="shared" si="17"/>
        <v>27</v>
      </c>
      <c r="F187" s="124">
        <f t="shared" si="18"/>
        <v>6</v>
      </c>
      <c r="G187" s="27"/>
      <c r="H187" s="28" t="str">
        <f>CONCATENATE(SUMIF($E$6:$E187,$E187,$K$6:$K$370)," / ",SUMIF($E$6:$E$370,$E187,$K$6:$K551))</f>
        <v>0 / 0</v>
      </c>
      <c r="I187" s="28" t="str">
        <f>CONCATENATE(SUMIF($F$6:$F187,$F187,$K$6:$K551)," / ",SUMIF($F$6:$F$370,$F187,$K$6:$K551))</f>
        <v>0 / 0</v>
      </c>
      <c r="J187" s="28" t="str">
        <f>CONCATENATE(SUM($K$6:$K187)," / ",SUM($K$6:$K$370))</f>
        <v>180,895 / 180,895</v>
      </c>
      <c r="K187" s="245">
        <v>0</v>
      </c>
      <c r="L187" s="28"/>
      <c r="M187" s="28" t="str">
        <f>CONCATENATE(SUMIF($E$6:$E187,$E187,$P$6:$P$370)," / ",SUMIF($E$6:$E$370,$E187,$P$6:$P$370))</f>
        <v>0 / 0</v>
      </c>
      <c r="N187" s="28" t="str">
        <f ca="1">CONCATENATE(SUMIF($F$6:$F187,$F187,$P187)," / ",SUMIF($F$6:$F$370,$F187,$P$6:$P$370))</f>
        <v>0 / 0</v>
      </c>
      <c r="O187" s="28" t="str">
        <f t="shared" si="19"/>
        <v>0 / 30</v>
      </c>
      <c r="P187" s="245">
        <v>0</v>
      </c>
      <c r="Q187" s="28"/>
      <c r="R187" s="246">
        <v>0</v>
      </c>
      <c r="S187" s="28" t="str">
        <f>CONCATENATE(SUMIF($E$6:$E187,E187,$R$6:$R$370)," / ",SUMIF($E$6:$E$370,E187,$R$6:$R$370))</f>
        <v>0 / 0</v>
      </c>
      <c r="T187" s="28" t="str">
        <f>CONCATENATE(SUMIF($F$6:$F187,$F187,$R$6:$R$370)," / ",SUMIF($F$6:$F$370,$F187,$R$6:$R$370))</f>
        <v>0 / 0</v>
      </c>
      <c r="U187" s="28" t="str">
        <f>CONCATENATE(SUM($R$6:$R187)," / ",SUM($R$6:$R$370))</f>
        <v>0 / 0</v>
      </c>
    </row>
    <row r="188" spans="2:21" ht="13" thickBot="1">
      <c r="B188" s="28"/>
      <c r="C188" s="237">
        <f t="shared" si="20"/>
        <v>42552</v>
      </c>
      <c r="D188" s="35" t="str">
        <f t="shared" si="21"/>
        <v>Vendredi</v>
      </c>
      <c r="E188" s="124">
        <f t="shared" si="17"/>
        <v>27</v>
      </c>
      <c r="F188" s="124">
        <f t="shared" si="18"/>
        <v>7</v>
      </c>
      <c r="G188" s="27"/>
      <c r="H188" s="28" t="str">
        <f>CONCATENATE(SUMIF($E$6:$E188,$E188,$K$6:$K$370)," / ",SUMIF($E$6:$E$370,$E188,$K$6:$K552))</f>
        <v>0 / 0</v>
      </c>
      <c r="I188" s="28" t="str">
        <f>CONCATENATE(SUMIF($F$6:$F188,$F188,$K$6:$K552)," / ",SUMIF($F$6:$F$370,$F188,$K$6:$K552))</f>
        <v>0 / 0</v>
      </c>
      <c r="J188" s="28" t="str">
        <f>CONCATENATE(SUM($K$6:$K188)," / ",SUM($K$6:$K$370))</f>
        <v>180,895 / 180,895</v>
      </c>
      <c r="K188" s="245">
        <v>0</v>
      </c>
      <c r="L188" s="28"/>
      <c r="M188" s="28" t="str">
        <f>CONCATENATE(SUMIF($E$6:$E188,$E188,$P$6:$P$370)," / ",SUMIF($E$6:$E$370,$E188,$P$6:$P$370))</f>
        <v>0 / 0</v>
      </c>
      <c r="N188" s="28" t="str">
        <f ca="1">CONCATENATE(SUMIF($F$6:$F188,$F188,$P188)," / ",SUMIF($F$6:$F$370,$F188,$P$6:$P$370))</f>
        <v>0 / 0</v>
      </c>
      <c r="O188" s="28" t="str">
        <f t="shared" si="19"/>
        <v>0 / 30</v>
      </c>
      <c r="P188" s="245">
        <v>0</v>
      </c>
      <c r="Q188" s="28"/>
      <c r="R188" s="246">
        <v>0</v>
      </c>
      <c r="S188" s="28" t="str">
        <f>CONCATENATE(SUMIF($E$6:$E188,E188,$R$6:$R$370)," / ",SUMIF($E$6:$E$370,E188,$R$6:$R$370))</f>
        <v>0 / 0</v>
      </c>
      <c r="T188" s="28" t="str">
        <f>CONCATENATE(SUMIF($F$6:$F188,$F188,$R$6:$R$370)," / ",SUMIF($F$6:$F$370,$F188,$R$6:$R$370))</f>
        <v>0 / 0</v>
      </c>
      <c r="U188" s="28" t="str">
        <f>CONCATENATE(SUM($R$6:$R188)," / ",SUM($R$6:$R$370))</f>
        <v>0 / 0</v>
      </c>
    </row>
    <row r="189" spans="2:21" ht="13" thickBot="1">
      <c r="B189" s="28"/>
      <c r="C189" s="237">
        <f t="shared" si="20"/>
        <v>42553</v>
      </c>
      <c r="D189" s="35" t="str">
        <f t="shared" si="21"/>
        <v>samedi</v>
      </c>
      <c r="E189" s="124">
        <f t="shared" si="17"/>
        <v>27</v>
      </c>
      <c r="F189" s="124">
        <f t="shared" si="18"/>
        <v>7</v>
      </c>
      <c r="G189" s="27"/>
      <c r="H189" s="28" t="str">
        <f>CONCATENATE(SUMIF($E$6:$E189,$E189,$K$6:$K$370)," / ",SUMIF($E$6:$E$370,$E189,$K$6:$K553))</f>
        <v>0 / 0</v>
      </c>
      <c r="I189" s="28" t="str">
        <f>CONCATENATE(SUMIF($F$6:$F189,$F189,$K$6:$K553)," / ",SUMIF($F$6:$F$370,$F189,$K$6:$K553))</f>
        <v>0 / 0</v>
      </c>
      <c r="J189" s="28" t="str">
        <f>CONCATENATE(SUM($K$6:$K189)," / ",SUM($K$6:$K$370))</f>
        <v>180,895 / 180,895</v>
      </c>
      <c r="K189" s="245">
        <v>0</v>
      </c>
      <c r="L189" s="28"/>
      <c r="M189" s="28" t="str">
        <f>CONCATENATE(SUMIF($E$6:$E189,$E189,$P$6:$P$370)," / ",SUMIF($E$6:$E$370,$E189,$P$6:$P$370))</f>
        <v>0 / 0</v>
      </c>
      <c r="N189" s="28" t="str">
        <f ca="1">CONCATENATE(SUMIF($F$6:$F189,$F189,$P189)," / ",SUMIF($F$6:$F$370,$F189,$P$6:$P$370))</f>
        <v>0 / 0</v>
      </c>
      <c r="O189" s="28" t="str">
        <f t="shared" si="19"/>
        <v>0 / 30</v>
      </c>
      <c r="P189" s="245">
        <v>0</v>
      </c>
      <c r="Q189" s="28"/>
      <c r="R189" s="246">
        <v>0</v>
      </c>
      <c r="S189" s="28" t="str">
        <f>CONCATENATE(SUMIF($E$6:$E189,E189,$R$6:$R$370)," / ",SUMIF($E$6:$E$370,E189,$R$6:$R$370))</f>
        <v>0 / 0</v>
      </c>
      <c r="T189" s="28" t="str">
        <f>CONCATENATE(SUMIF($F$6:$F189,$F189,$R$6:$R$370)," / ",SUMIF($F$6:$F$370,$F189,$R$6:$R$370))</f>
        <v>0 / 0</v>
      </c>
      <c r="U189" s="28" t="str">
        <f>CONCATENATE(SUM($R$6:$R189)," / ",SUM($R$6:$R$370))</f>
        <v>0 / 0</v>
      </c>
    </row>
    <row r="190" spans="2:21" ht="13" thickBot="1">
      <c r="B190" s="28"/>
      <c r="C190" s="237">
        <f t="shared" si="20"/>
        <v>42554</v>
      </c>
      <c r="D190" s="35" t="str">
        <f t="shared" si="21"/>
        <v>Dimanche</v>
      </c>
      <c r="E190" s="124">
        <f t="shared" si="17"/>
        <v>28</v>
      </c>
      <c r="F190" s="124">
        <f t="shared" si="18"/>
        <v>7</v>
      </c>
      <c r="G190" s="27"/>
      <c r="H190" s="28" t="str">
        <f>CONCATENATE(SUMIF($E$6:$E190,$E190,$K$6:$K$370)," / ",SUMIF($E$6:$E$370,$E190,$K$6:$K554))</f>
        <v>0 / 0</v>
      </c>
      <c r="I190" s="28" t="str">
        <f>CONCATENATE(SUMIF($F$6:$F190,$F190,$K$6:$K554)," / ",SUMIF($F$6:$F$370,$F190,$K$6:$K554))</f>
        <v>0 / 0</v>
      </c>
      <c r="J190" s="28" t="str">
        <f>CONCATENATE(SUM($K$6:$K190)," / ",SUM($K$6:$K$370))</f>
        <v>180,895 / 180,895</v>
      </c>
      <c r="K190" s="245">
        <v>0</v>
      </c>
      <c r="L190" s="28"/>
      <c r="M190" s="28" t="str">
        <f>CONCATENATE(SUMIF($E$6:$E190,$E190,$P$6:$P$370)," / ",SUMIF($E$6:$E$370,$E190,$P$6:$P$370))</f>
        <v>0 / 0</v>
      </c>
      <c r="N190" s="28" t="str">
        <f ca="1">CONCATENATE(SUMIF($F$6:$F190,$F190,$P190)," / ",SUMIF($F$6:$F$370,$F190,$P$6:$P$370))</f>
        <v>0 / 0</v>
      </c>
      <c r="O190" s="28" t="str">
        <f t="shared" si="19"/>
        <v>0 / 30</v>
      </c>
      <c r="P190" s="245">
        <v>0</v>
      </c>
      <c r="Q190" s="28"/>
      <c r="R190" s="246">
        <v>0</v>
      </c>
      <c r="S190" s="28" t="str">
        <f>CONCATENATE(SUMIF($E$6:$E190,E190,$R$6:$R$370)," / ",SUMIF($E$6:$E$370,E190,$R$6:$R$370))</f>
        <v>0 / 0</v>
      </c>
      <c r="T190" s="28" t="str">
        <f>CONCATENATE(SUMIF($F$6:$F190,$F190,$R$6:$R$370)," / ",SUMIF($F$6:$F$370,$F190,$R$6:$R$370))</f>
        <v>0 / 0</v>
      </c>
      <c r="U190" s="28" t="str">
        <f>CONCATENATE(SUM($R$6:$R190)," / ",SUM($R$6:$R$370))</f>
        <v>0 / 0</v>
      </c>
    </row>
    <row r="191" spans="2:21" ht="13" thickBot="1">
      <c r="B191" s="28"/>
      <c r="C191" s="237">
        <f t="shared" si="20"/>
        <v>42555</v>
      </c>
      <c r="D191" s="35" t="str">
        <f t="shared" si="21"/>
        <v>Lundi</v>
      </c>
      <c r="E191" s="124">
        <f t="shared" si="17"/>
        <v>28</v>
      </c>
      <c r="F191" s="124">
        <f t="shared" si="18"/>
        <v>7</v>
      </c>
      <c r="G191" s="27"/>
      <c r="H191" s="28" t="str">
        <f>CONCATENATE(SUMIF($E$6:$E191,$E191,$K$6:$K$370)," / ",SUMIF($E$6:$E$370,$E191,$K$6:$K555))</f>
        <v>0 / 0</v>
      </c>
      <c r="I191" s="28" t="str">
        <f>CONCATENATE(SUMIF($F$6:$F191,$F191,$K$6:$K555)," / ",SUMIF($F$6:$F$370,$F191,$K$6:$K555))</f>
        <v>0 / 0</v>
      </c>
      <c r="J191" s="28" t="str">
        <f>CONCATENATE(SUM($K$6:$K191)," / ",SUM($K$6:$K$370))</f>
        <v>180,895 / 180,895</v>
      </c>
      <c r="K191" s="245">
        <v>0</v>
      </c>
      <c r="L191" s="28"/>
      <c r="M191" s="28" t="str">
        <f>CONCATENATE(SUMIF($E$6:$E191,$E191,$P$6:$P$370)," / ",SUMIF($E$6:$E$370,$E191,$P$6:$P$370))</f>
        <v>0 / 0</v>
      </c>
      <c r="N191" s="28" t="str">
        <f ca="1">CONCATENATE(SUMIF($F$6:$F191,$F191,$P191)," / ",SUMIF($F$6:$F$370,$F191,$P$6:$P$370))</f>
        <v>0 / 0</v>
      </c>
      <c r="O191" s="28" t="str">
        <f t="shared" si="19"/>
        <v>0 / 30</v>
      </c>
      <c r="P191" s="245">
        <v>0</v>
      </c>
      <c r="Q191" s="28"/>
      <c r="R191" s="246">
        <v>0</v>
      </c>
      <c r="S191" s="28" t="str">
        <f>CONCATENATE(SUMIF($E$6:$E191,E191,$R$6:$R$370)," / ",SUMIF($E$6:$E$370,E191,$R$6:$R$370))</f>
        <v>0 / 0</v>
      </c>
      <c r="T191" s="28" t="str">
        <f>CONCATENATE(SUMIF($F$6:$F191,$F191,$R$6:$R$370)," / ",SUMIF($F$6:$F$370,$F191,$R$6:$R$370))</f>
        <v>0 / 0</v>
      </c>
      <c r="U191" s="28" t="str">
        <f>CONCATENATE(SUM($R$6:$R191)," / ",SUM($R$6:$R$370))</f>
        <v>0 / 0</v>
      </c>
    </row>
    <row r="192" spans="2:21" ht="13" thickBot="1">
      <c r="B192" s="28"/>
      <c r="C192" s="237">
        <f t="shared" si="20"/>
        <v>42556</v>
      </c>
      <c r="D192" s="35" t="str">
        <f t="shared" si="21"/>
        <v>Mardi</v>
      </c>
      <c r="E192" s="124">
        <f t="shared" si="17"/>
        <v>28</v>
      </c>
      <c r="F192" s="124">
        <f t="shared" si="18"/>
        <v>7</v>
      </c>
      <c r="G192" s="27"/>
      <c r="H192" s="28" t="str">
        <f>CONCATENATE(SUMIF($E$6:$E192,$E192,$K$6:$K$370)," / ",SUMIF($E$6:$E$370,$E192,$K$6:$K556))</f>
        <v>0 / 0</v>
      </c>
      <c r="I192" s="28" t="str">
        <f>CONCATENATE(SUMIF($F$6:$F192,$F192,$K$6:$K556)," / ",SUMIF($F$6:$F$370,$F192,$K$6:$K556))</f>
        <v>0 / 0</v>
      </c>
      <c r="J192" s="28" t="str">
        <f>CONCATENATE(SUM($K$6:$K192)," / ",SUM($K$6:$K$370))</f>
        <v>180,895 / 180,895</v>
      </c>
      <c r="K192" s="245">
        <v>0</v>
      </c>
      <c r="L192" s="28"/>
      <c r="M192" s="28" t="str">
        <f>CONCATENATE(SUMIF($E$6:$E192,$E192,$P$6:$P$370)," / ",SUMIF($E$6:$E$370,$E192,$P$6:$P$370))</f>
        <v>0 / 0</v>
      </c>
      <c r="N192" s="28" t="str">
        <f ca="1">CONCATENATE(SUMIF($F$6:$F192,$F192,$P192)," / ",SUMIF($F$6:$F$370,$F192,$P$6:$P$370))</f>
        <v>0 / 0</v>
      </c>
      <c r="O192" s="28" t="str">
        <f t="shared" si="19"/>
        <v>0 / 30</v>
      </c>
      <c r="P192" s="245">
        <v>0</v>
      </c>
      <c r="Q192" s="28"/>
      <c r="R192" s="246">
        <v>0</v>
      </c>
      <c r="S192" s="28" t="str">
        <f>CONCATENATE(SUMIF($E$6:$E192,E192,$R$6:$R$370)," / ",SUMIF($E$6:$E$370,E192,$R$6:$R$370))</f>
        <v>0 / 0</v>
      </c>
      <c r="T192" s="28" t="str">
        <f>CONCATENATE(SUMIF($F$6:$F192,$F192,$R$6:$R$370)," / ",SUMIF($F$6:$F$370,$F192,$R$6:$R$370))</f>
        <v>0 / 0</v>
      </c>
      <c r="U192" s="28" t="str">
        <f>CONCATENATE(SUM($R$6:$R192)," / ",SUM($R$6:$R$370))</f>
        <v>0 / 0</v>
      </c>
    </row>
    <row r="193" spans="2:21" ht="13" thickBot="1">
      <c r="B193" s="28"/>
      <c r="C193" s="237">
        <f t="shared" si="20"/>
        <v>42557</v>
      </c>
      <c r="D193" s="35" t="str">
        <f t="shared" si="21"/>
        <v>Mercredi</v>
      </c>
      <c r="E193" s="124">
        <f t="shared" si="17"/>
        <v>28</v>
      </c>
      <c r="F193" s="124">
        <f t="shared" si="18"/>
        <v>7</v>
      </c>
      <c r="G193" s="27"/>
      <c r="H193" s="28" t="str">
        <f>CONCATENATE(SUMIF($E$6:$E193,$E193,$K$6:$K$370)," / ",SUMIF($E$6:$E$370,$E193,$K$6:$K557))</f>
        <v>0 / 0</v>
      </c>
      <c r="I193" s="28" t="str">
        <f>CONCATENATE(SUMIF($F$6:$F193,$F193,$K$6:$K557)," / ",SUMIF($F$6:$F$370,$F193,$K$6:$K557))</f>
        <v>0 / 0</v>
      </c>
      <c r="J193" s="28" t="str">
        <f>CONCATENATE(SUM($K$6:$K193)," / ",SUM($K$6:$K$370))</f>
        <v>180,895 / 180,895</v>
      </c>
      <c r="K193" s="245">
        <v>0</v>
      </c>
      <c r="L193" s="28"/>
      <c r="M193" s="28" t="str">
        <f>CONCATENATE(SUMIF($E$6:$E193,$E193,$P$6:$P$370)," / ",SUMIF($E$6:$E$370,$E193,$P$6:$P$370))</f>
        <v>0 / 0</v>
      </c>
      <c r="N193" s="28" t="str">
        <f ca="1">CONCATENATE(SUMIF($F$6:$F193,$F193,$P193)," / ",SUMIF($F$6:$F$370,$F193,$P$6:$P$370))</f>
        <v>0 / 0</v>
      </c>
      <c r="O193" s="28" t="str">
        <f t="shared" si="19"/>
        <v>0 / 30</v>
      </c>
      <c r="P193" s="245">
        <v>0</v>
      </c>
      <c r="Q193" s="28"/>
      <c r="R193" s="246">
        <v>0</v>
      </c>
      <c r="S193" s="28" t="str">
        <f>CONCATENATE(SUMIF($E$6:$E193,E193,$R$6:$R$370)," / ",SUMIF($E$6:$E$370,E193,$R$6:$R$370))</f>
        <v>0 / 0</v>
      </c>
      <c r="T193" s="28" t="str">
        <f>CONCATENATE(SUMIF($F$6:$F193,$F193,$R$6:$R$370)," / ",SUMIF($F$6:$F$370,$F193,$R$6:$R$370))</f>
        <v>0 / 0</v>
      </c>
      <c r="U193" s="28" t="str">
        <f>CONCATENATE(SUM($R$6:$R193)," / ",SUM($R$6:$R$370))</f>
        <v>0 / 0</v>
      </c>
    </row>
    <row r="194" spans="2:21" ht="13" thickBot="1">
      <c r="B194" s="28"/>
      <c r="C194" s="237">
        <f t="shared" si="20"/>
        <v>42558</v>
      </c>
      <c r="D194" s="35" t="str">
        <f t="shared" si="21"/>
        <v>Jeudi</v>
      </c>
      <c r="E194" s="124">
        <f t="shared" si="17"/>
        <v>28</v>
      </c>
      <c r="F194" s="124">
        <f t="shared" si="18"/>
        <v>7</v>
      </c>
      <c r="G194" s="27"/>
      <c r="H194" s="28" t="str">
        <f>CONCATENATE(SUMIF($E$6:$E194,$E194,$K$6:$K$370)," / ",SUMIF($E$6:$E$370,$E194,$K$6:$K558))</f>
        <v>0 / 0</v>
      </c>
      <c r="I194" s="28" t="str">
        <f>CONCATENATE(SUMIF($F$6:$F194,$F194,$K$6:$K558)," / ",SUMIF($F$6:$F$370,$F194,$K$6:$K558))</f>
        <v>0 / 0</v>
      </c>
      <c r="J194" s="28" t="str">
        <f>CONCATENATE(SUM($K$6:$K194)," / ",SUM($K$6:$K$370))</f>
        <v>180,895 / 180,895</v>
      </c>
      <c r="K194" s="245">
        <v>0</v>
      </c>
      <c r="L194" s="28"/>
      <c r="M194" s="28" t="str">
        <f>CONCATENATE(SUMIF($E$6:$E194,$E194,$P$6:$P$370)," / ",SUMIF($E$6:$E$370,$E194,$P$6:$P$370))</f>
        <v>0 / 0</v>
      </c>
      <c r="N194" s="28" t="str">
        <f ca="1">CONCATENATE(SUMIF($F$6:$F194,$F194,$P194)," / ",SUMIF($F$6:$F$370,$F194,$P$6:$P$370))</f>
        <v>0 / 0</v>
      </c>
      <c r="O194" s="28" t="str">
        <f t="shared" si="19"/>
        <v>0 / 30</v>
      </c>
      <c r="P194" s="245">
        <v>0</v>
      </c>
      <c r="Q194" s="28"/>
      <c r="R194" s="246">
        <v>0</v>
      </c>
      <c r="S194" s="28" t="str">
        <f>CONCATENATE(SUMIF($E$6:$E194,E194,$R$6:$R$370)," / ",SUMIF($E$6:$E$370,E194,$R$6:$R$370))</f>
        <v>0 / 0</v>
      </c>
      <c r="T194" s="28" t="str">
        <f>CONCATENATE(SUMIF($F$6:$F194,$F194,$R$6:$R$370)," / ",SUMIF($F$6:$F$370,$F194,$R$6:$R$370))</f>
        <v>0 / 0</v>
      </c>
      <c r="U194" s="28" t="str">
        <f>CONCATENATE(SUM($R$6:$R194)," / ",SUM($R$6:$R$370))</f>
        <v>0 / 0</v>
      </c>
    </row>
    <row r="195" spans="2:21" ht="13" thickBot="1">
      <c r="B195" s="28"/>
      <c r="C195" s="237">
        <f t="shared" si="20"/>
        <v>42559</v>
      </c>
      <c r="D195" s="35" t="str">
        <f t="shared" si="21"/>
        <v>Vendredi</v>
      </c>
      <c r="E195" s="124">
        <f t="shared" si="17"/>
        <v>28</v>
      </c>
      <c r="F195" s="124">
        <f t="shared" si="18"/>
        <v>7</v>
      </c>
      <c r="G195" s="27"/>
      <c r="H195" s="28" t="str">
        <f>CONCATENATE(SUMIF($E$6:$E195,$E195,$K$6:$K$370)," / ",SUMIF($E$6:$E$370,$E195,$K$6:$K559))</f>
        <v>0 / 0</v>
      </c>
      <c r="I195" s="28" t="str">
        <f>CONCATENATE(SUMIF($F$6:$F195,$F195,$K$6:$K559)," / ",SUMIF($F$6:$F$370,$F195,$K$6:$K559))</f>
        <v>0 / 0</v>
      </c>
      <c r="J195" s="28" t="str">
        <f>CONCATENATE(SUM($K$6:$K195)," / ",SUM($K$6:$K$370))</f>
        <v>180,895 / 180,895</v>
      </c>
      <c r="K195" s="245">
        <v>0</v>
      </c>
      <c r="L195" s="28"/>
      <c r="M195" s="28" t="str">
        <f>CONCATENATE(SUMIF($E$6:$E195,$E195,$P$6:$P$370)," / ",SUMIF($E$6:$E$370,$E195,$P$6:$P$370))</f>
        <v>0 / 0</v>
      </c>
      <c r="N195" s="28" t="str">
        <f ca="1">CONCATENATE(SUMIF($F$6:$F195,$F195,$P195)," / ",SUMIF($F$6:$F$370,$F195,$P$6:$P$370))</f>
        <v>0 / 0</v>
      </c>
      <c r="O195" s="28" t="str">
        <f t="shared" si="19"/>
        <v>0 / 30</v>
      </c>
      <c r="P195" s="245">
        <v>0</v>
      </c>
      <c r="Q195" s="28"/>
      <c r="R195" s="246">
        <v>0</v>
      </c>
      <c r="S195" s="28" t="str">
        <f>CONCATENATE(SUMIF($E$6:$E195,E195,$R$6:$R$370)," / ",SUMIF($E$6:$E$370,E195,$R$6:$R$370))</f>
        <v>0 / 0</v>
      </c>
      <c r="T195" s="28" t="str">
        <f>CONCATENATE(SUMIF($F$6:$F195,$F195,$R$6:$R$370)," / ",SUMIF($F$6:$F$370,$F195,$R$6:$R$370))</f>
        <v>0 / 0</v>
      </c>
      <c r="U195" s="28" t="str">
        <f>CONCATENATE(SUM($R$6:$R195)," / ",SUM($R$6:$R$370))</f>
        <v>0 / 0</v>
      </c>
    </row>
    <row r="196" spans="2:21" ht="13" thickBot="1">
      <c r="B196" s="28"/>
      <c r="C196" s="237">
        <f t="shared" si="20"/>
        <v>42560</v>
      </c>
      <c r="D196" s="35" t="str">
        <f t="shared" si="21"/>
        <v>samedi</v>
      </c>
      <c r="E196" s="124">
        <f t="shared" si="17"/>
        <v>28</v>
      </c>
      <c r="F196" s="124">
        <f t="shared" si="18"/>
        <v>7</v>
      </c>
      <c r="G196" s="27"/>
      <c r="H196" s="28" t="str">
        <f>CONCATENATE(SUMIF($E$6:$E196,$E196,$K$6:$K$370)," / ",SUMIF($E$6:$E$370,$E196,$K$6:$K560))</f>
        <v>0 / 0</v>
      </c>
      <c r="I196" s="28" t="str">
        <f>CONCATENATE(SUMIF($F$6:$F196,$F196,$K$6:$K560)," / ",SUMIF($F$6:$F$370,$F196,$K$6:$K560))</f>
        <v>0 / 0</v>
      </c>
      <c r="J196" s="28" t="str">
        <f>CONCATENATE(SUM($K$6:$K196)," / ",SUM($K$6:$K$370))</f>
        <v>180,895 / 180,895</v>
      </c>
      <c r="K196" s="245">
        <v>0</v>
      </c>
      <c r="L196" s="28"/>
      <c r="M196" s="28" t="str">
        <f>CONCATENATE(SUMIF($E$6:$E196,$E196,$P$6:$P$370)," / ",SUMIF($E$6:$E$370,$E196,$P$6:$P$370))</f>
        <v>0 / 0</v>
      </c>
      <c r="N196" s="28" t="str">
        <f ca="1">CONCATENATE(SUMIF($F$6:$F196,$F196,$P196)," / ",SUMIF($F$6:$F$370,$F196,$P$6:$P$370))</f>
        <v>0 / 0</v>
      </c>
      <c r="O196" s="28" t="str">
        <f t="shared" si="19"/>
        <v>0 / 30</v>
      </c>
      <c r="P196" s="245">
        <v>0</v>
      </c>
      <c r="Q196" s="28"/>
      <c r="R196" s="246">
        <v>0</v>
      </c>
      <c r="S196" s="28" t="str">
        <f>CONCATENATE(SUMIF($E$6:$E196,E196,$R$6:$R$370)," / ",SUMIF($E$6:$E$370,E196,$R$6:$R$370))</f>
        <v>0 / 0</v>
      </c>
      <c r="T196" s="28" t="str">
        <f>CONCATENATE(SUMIF($F$6:$F196,$F196,$R$6:$R$370)," / ",SUMIF($F$6:$F$370,$F196,$R$6:$R$370))</f>
        <v>0 / 0</v>
      </c>
      <c r="U196" s="28" t="str">
        <f>CONCATENATE(SUM($R$6:$R196)," / ",SUM($R$6:$R$370))</f>
        <v>0 / 0</v>
      </c>
    </row>
    <row r="197" spans="2:21" ht="13" thickBot="1">
      <c r="B197" s="28"/>
      <c r="C197" s="237">
        <f t="shared" si="20"/>
        <v>42561</v>
      </c>
      <c r="D197" s="35" t="str">
        <f t="shared" si="21"/>
        <v>Dimanche</v>
      </c>
      <c r="E197" s="124">
        <f t="shared" si="17"/>
        <v>29</v>
      </c>
      <c r="F197" s="124">
        <f t="shared" si="18"/>
        <v>7</v>
      </c>
      <c r="G197" s="27"/>
      <c r="H197" s="28" t="str">
        <f>CONCATENATE(SUMIF($E$6:$E197,$E197,$K$6:$K$370)," / ",SUMIF($E$6:$E$370,$E197,$K$6:$K561))</f>
        <v>0 / 0</v>
      </c>
      <c r="I197" s="28" t="str">
        <f>CONCATENATE(SUMIF($F$6:$F197,$F197,$K$6:$K561)," / ",SUMIF($F$6:$F$370,$F197,$K$6:$K561))</f>
        <v>0 / 0</v>
      </c>
      <c r="J197" s="28" t="str">
        <f>CONCATENATE(SUM($K$6:$K197)," / ",SUM($K$6:$K$370))</f>
        <v>180,895 / 180,895</v>
      </c>
      <c r="K197" s="245">
        <v>0</v>
      </c>
      <c r="L197" s="28"/>
      <c r="M197" s="28" t="str">
        <f>CONCATENATE(SUMIF($E$6:$E197,$E197,$P$6:$P$370)," / ",SUMIF($E$6:$E$370,$E197,$P$6:$P$370))</f>
        <v>0 / 0</v>
      </c>
      <c r="N197" s="28" t="str">
        <f ca="1">CONCATENATE(SUMIF($F$6:$F197,$F197,$P197)," / ",SUMIF($F$6:$F$370,$F197,$P$6:$P$370))</f>
        <v>0 / 0</v>
      </c>
      <c r="O197" s="28" t="str">
        <f t="shared" si="19"/>
        <v>0 / 30</v>
      </c>
      <c r="P197" s="245">
        <v>0</v>
      </c>
      <c r="Q197" s="28"/>
      <c r="R197" s="246">
        <v>0</v>
      </c>
      <c r="S197" s="28" t="str">
        <f>CONCATENATE(SUMIF($E$6:$E197,E197,$R$6:$R$370)," / ",SUMIF($E$6:$E$370,E197,$R$6:$R$370))</f>
        <v>0 / 0</v>
      </c>
      <c r="T197" s="28" t="str">
        <f>CONCATENATE(SUMIF($F$6:$F197,$F197,$R$6:$R$370)," / ",SUMIF($F$6:$F$370,$F197,$R$6:$R$370))</f>
        <v>0 / 0</v>
      </c>
      <c r="U197" s="28" t="str">
        <f>CONCATENATE(SUM($R$6:$R197)," / ",SUM($R$6:$R$370))</f>
        <v>0 / 0</v>
      </c>
    </row>
    <row r="198" spans="2:21" ht="13" thickBot="1">
      <c r="B198" s="28"/>
      <c r="C198" s="237">
        <f t="shared" si="20"/>
        <v>42562</v>
      </c>
      <c r="D198" s="35" t="str">
        <f t="shared" si="21"/>
        <v>Lundi</v>
      </c>
      <c r="E198" s="124">
        <f t="shared" si="17"/>
        <v>29</v>
      </c>
      <c r="F198" s="124">
        <f t="shared" si="18"/>
        <v>7</v>
      </c>
      <c r="G198" s="27"/>
      <c r="H198" s="28" t="str">
        <f>CONCATENATE(SUMIF($E$6:$E198,$E198,$K$6:$K$370)," / ",SUMIF($E$6:$E$370,$E198,$K$6:$K562))</f>
        <v>0 / 0</v>
      </c>
      <c r="I198" s="28" t="str">
        <f>CONCATENATE(SUMIF($F$6:$F198,$F198,$K$6:$K562)," / ",SUMIF($F$6:$F$370,$F198,$K$6:$K562))</f>
        <v>0 / 0</v>
      </c>
      <c r="J198" s="28" t="str">
        <f>CONCATENATE(SUM($K$6:$K198)," / ",SUM($K$6:$K$370))</f>
        <v>180,895 / 180,895</v>
      </c>
      <c r="K198" s="245">
        <v>0</v>
      </c>
      <c r="L198" s="28"/>
      <c r="M198" s="28" t="str">
        <f>CONCATENATE(SUMIF($E$6:$E198,$E198,$P$6:$P$370)," / ",SUMIF($E$6:$E$370,$E198,$P$6:$P$370))</f>
        <v>0 / 0</v>
      </c>
      <c r="N198" s="28" t="str">
        <f ca="1">CONCATENATE(SUMIF($F$6:$F198,$F198,$P198)," / ",SUMIF($F$6:$F$370,$F198,$P$6:$P$370))</f>
        <v>0 / 0</v>
      </c>
      <c r="O198" s="28" t="str">
        <f t="shared" si="19"/>
        <v>0 / 30</v>
      </c>
      <c r="P198" s="245">
        <v>0</v>
      </c>
      <c r="Q198" s="28"/>
      <c r="R198" s="246">
        <v>0</v>
      </c>
      <c r="S198" s="28" t="str">
        <f>CONCATENATE(SUMIF($E$6:$E198,E198,$R$6:$R$370)," / ",SUMIF($E$6:$E$370,E198,$R$6:$R$370))</f>
        <v>0 / 0</v>
      </c>
      <c r="T198" s="28" t="str">
        <f>CONCATENATE(SUMIF($F$6:$F198,$F198,$R$6:$R$370)," / ",SUMIF($F$6:$F$370,$F198,$R$6:$R$370))</f>
        <v>0 / 0</v>
      </c>
      <c r="U198" s="28" t="str">
        <f>CONCATENATE(SUM($R$6:$R198)," / ",SUM($R$6:$R$370))</f>
        <v>0 / 0</v>
      </c>
    </row>
    <row r="199" spans="2:21" ht="13" thickBot="1">
      <c r="B199" s="28"/>
      <c r="C199" s="237">
        <f t="shared" si="20"/>
        <v>42563</v>
      </c>
      <c r="D199" s="35" t="str">
        <f t="shared" si="21"/>
        <v>Mardi</v>
      </c>
      <c r="E199" s="124">
        <f t="shared" ref="E199:E262" si="22">WEEKNUM($C199)</f>
        <v>29</v>
      </c>
      <c r="F199" s="124">
        <f t="shared" ref="F199:F262" si="23">MONTH(C199)</f>
        <v>7</v>
      </c>
      <c r="G199" s="27"/>
      <c r="H199" s="28" t="str">
        <f>CONCATENATE(SUMIF($E$6:$E199,$E199,$K$6:$K$370)," / ",SUMIF($E$6:$E$370,$E199,$K$6:$K563))</f>
        <v>0 / 0</v>
      </c>
      <c r="I199" s="28" t="str">
        <f>CONCATENATE(SUMIF($F$6:$F199,$F199,$K$6:$K563)," / ",SUMIF($F$6:$F$370,$F199,$K$6:$K563))</f>
        <v>0 / 0</v>
      </c>
      <c r="J199" s="28" t="str">
        <f>CONCATENATE(SUM($K$6:$K199)," / ",SUM($K$6:$K$370))</f>
        <v>180,895 / 180,895</v>
      </c>
      <c r="K199" s="245">
        <v>0</v>
      </c>
      <c r="L199" s="28"/>
      <c r="M199" s="28" t="str">
        <f>CONCATENATE(SUMIF($E$6:$E199,$E199,$P$6:$P$370)," / ",SUMIF($E$6:$E$370,$E199,$P$6:$P$370))</f>
        <v>0 / 0</v>
      </c>
      <c r="N199" s="28" t="str">
        <f ca="1">CONCATENATE(SUMIF($F$6:$F199,$F199,$P199)," / ",SUMIF($F$6:$F$370,$F199,$P$6:$P$370))</f>
        <v>0 / 0</v>
      </c>
      <c r="O199" s="28" t="str">
        <f t="shared" ref="O199:O262" si="24">CONCATENATE(SUM($P199)," / ",SUM($P$6:$P$370))</f>
        <v>0 / 30</v>
      </c>
      <c r="P199" s="245">
        <v>0</v>
      </c>
      <c r="Q199" s="28"/>
      <c r="R199" s="246">
        <v>0</v>
      </c>
      <c r="S199" s="28" t="str">
        <f>CONCATENATE(SUMIF($E$6:$E199,E199,$R$6:$R$370)," / ",SUMIF($E$6:$E$370,E199,$R$6:$R$370))</f>
        <v>0 / 0</v>
      </c>
      <c r="T199" s="28" t="str">
        <f>CONCATENATE(SUMIF($F$6:$F199,$F199,$R$6:$R$370)," / ",SUMIF($F$6:$F$370,$F199,$R$6:$R$370))</f>
        <v>0 / 0</v>
      </c>
      <c r="U199" s="28" t="str">
        <f>CONCATENATE(SUM($R$6:$R199)," / ",SUM($R$6:$R$370))</f>
        <v>0 / 0</v>
      </c>
    </row>
    <row r="200" spans="2:21" ht="13" thickBot="1">
      <c r="B200" s="28"/>
      <c r="C200" s="237">
        <f t="shared" ref="C200:C263" si="25">C199+1</f>
        <v>42564</v>
      </c>
      <c r="D200" s="35" t="str">
        <f t="shared" si="21"/>
        <v>Mercredi</v>
      </c>
      <c r="E200" s="124">
        <f t="shared" si="22"/>
        <v>29</v>
      </c>
      <c r="F200" s="124">
        <f t="shared" si="23"/>
        <v>7</v>
      </c>
      <c r="G200" s="27"/>
      <c r="H200" s="28" t="str">
        <f>CONCATENATE(SUMIF($E$6:$E200,$E200,$K$6:$K$370)," / ",SUMIF($E$6:$E$370,$E200,$K$6:$K564))</f>
        <v>0 / 0</v>
      </c>
      <c r="I200" s="28" t="str">
        <f>CONCATENATE(SUMIF($F$6:$F200,$F200,$K$6:$K564)," / ",SUMIF($F$6:$F$370,$F200,$K$6:$K564))</f>
        <v>0 / 0</v>
      </c>
      <c r="J200" s="28" t="str">
        <f>CONCATENATE(SUM($K$6:$K200)," / ",SUM($K$6:$K$370))</f>
        <v>180,895 / 180,895</v>
      </c>
      <c r="K200" s="245">
        <v>0</v>
      </c>
      <c r="L200" s="28"/>
      <c r="M200" s="28" t="str">
        <f>CONCATENATE(SUMIF($E$6:$E200,$E200,$P$6:$P$370)," / ",SUMIF($E$6:$E$370,$E200,$P$6:$P$370))</f>
        <v>0 / 0</v>
      </c>
      <c r="N200" s="28" t="str">
        <f ca="1">CONCATENATE(SUMIF($F$6:$F200,$F200,$P200)," / ",SUMIF($F$6:$F$370,$F200,$P$6:$P$370))</f>
        <v>0 / 0</v>
      </c>
      <c r="O200" s="28" t="str">
        <f t="shared" si="24"/>
        <v>0 / 30</v>
      </c>
      <c r="P200" s="245">
        <v>0</v>
      </c>
      <c r="Q200" s="28"/>
      <c r="R200" s="246">
        <v>0</v>
      </c>
      <c r="S200" s="28" t="str">
        <f>CONCATENATE(SUMIF($E$6:$E200,E200,$R$6:$R$370)," / ",SUMIF($E$6:$E$370,E200,$R$6:$R$370))</f>
        <v>0 / 0</v>
      </c>
      <c r="T200" s="28" t="str">
        <f>CONCATENATE(SUMIF($F$6:$F200,$F200,$R$6:$R$370)," / ",SUMIF($F$6:$F$370,$F200,$R$6:$R$370))</f>
        <v>0 / 0</v>
      </c>
      <c r="U200" s="28" t="str">
        <f>CONCATENATE(SUM($R$6:$R200)," / ",SUM($R$6:$R$370))</f>
        <v>0 / 0</v>
      </c>
    </row>
    <row r="201" spans="2:21" ht="13" thickBot="1">
      <c r="B201" s="28"/>
      <c r="C201" s="237">
        <f t="shared" si="25"/>
        <v>42565</v>
      </c>
      <c r="D201" s="35" t="str">
        <f t="shared" si="21"/>
        <v>Jeudi</v>
      </c>
      <c r="E201" s="124">
        <f t="shared" si="22"/>
        <v>29</v>
      </c>
      <c r="F201" s="124">
        <f t="shared" si="23"/>
        <v>7</v>
      </c>
      <c r="G201" s="27"/>
      <c r="H201" s="28" t="str">
        <f>CONCATENATE(SUMIF($E$6:$E201,$E201,$K$6:$K$370)," / ",SUMIF($E$6:$E$370,$E201,$K$6:$K565))</f>
        <v>0 / 0</v>
      </c>
      <c r="I201" s="28" t="str">
        <f>CONCATENATE(SUMIF($F$6:$F201,$F201,$K$6:$K565)," / ",SUMIF($F$6:$F$370,$F201,$K$6:$K565))</f>
        <v>0 / 0</v>
      </c>
      <c r="J201" s="28" t="str">
        <f>CONCATENATE(SUM($K$6:$K201)," / ",SUM($K$6:$K$370))</f>
        <v>180,895 / 180,895</v>
      </c>
      <c r="K201" s="245">
        <v>0</v>
      </c>
      <c r="L201" s="28"/>
      <c r="M201" s="28" t="str">
        <f>CONCATENATE(SUMIF($E$6:$E201,$E201,$P$6:$P$370)," / ",SUMIF($E$6:$E$370,$E201,$P$6:$P$370))</f>
        <v>0 / 0</v>
      </c>
      <c r="N201" s="28" t="str">
        <f ca="1">CONCATENATE(SUMIF($F$6:$F201,$F201,$P201)," / ",SUMIF($F$6:$F$370,$F201,$P$6:$P$370))</f>
        <v>0 / 0</v>
      </c>
      <c r="O201" s="28" t="str">
        <f t="shared" si="24"/>
        <v>0 / 30</v>
      </c>
      <c r="P201" s="245">
        <v>0</v>
      </c>
      <c r="Q201" s="28"/>
      <c r="R201" s="246">
        <v>0</v>
      </c>
      <c r="S201" s="28" t="str">
        <f>CONCATENATE(SUMIF($E$6:$E201,E201,$R$6:$R$370)," / ",SUMIF($E$6:$E$370,E201,$R$6:$R$370))</f>
        <v>0 / 0</v>
      </c>
      <c r="T201" s="28" t="str">
        <f>CONCATENATE(SUMIF($F$6:$F201,$F201,$R$6:$R$370)," / ",SUMIF($F$6:$F$370,$F201,$R$6:$R$370))</f>
        <v>0 / 0</v>
      </c>
      <c r="U201" s="28" t="str">
        <f>CONCATENATE(SUM($R$6:$R201)," / ",SUM($R$6:$R$370))</f>
        <v>0 / 0</v>
      </c>
    </row>
    <row r="202" spans="2:21" ht="13" thickBot="1">
      <c r="B202" s="28"/>
      <c r="C202" s="237">
        <f t="shared" si="25"/>
        <v>42566</v>
      </c>
      <c r="D202" s="35" t="str">
        <f t="shared" si="21"/>
        <v>Vendredi</v>
      </c>
      <c r="E202" s="124">
        <f t="shared" si="22"/>
        <v>29</v>
      </c>
      <c r="F202" s="124">
        <f t="shared" si="23"/>
        <v>7</v>
      </c>
      <c r="G202" s="27"/>
      <c r="H202" s="28" t="str">
        <f>CONCATENATE(SUMIF($E$6:$E202,$E202,$K$6:$K$370)," / ",SUMIF($E$6:$E$370,$E202,$K$6:$K566))</f>
        <v>0 / 0</v>
      </c>
      <c r="I202" s="28" t="str">
        <f>CONCATENATE(SUMIF($F$6:$F202,$F202,$K$6:$K566)," / ",SUMIF($F$6:$F$370,$F202,$K$6:$K566))</f>
        <v>0 / 0</v>
      </c>
      <c r="J202" s="28" t="str">
        <f>CONCATENATE(SUM($K$6:$K202)," / ",SUM($K$6:$K$370))</f>
        <v>180,895 / 180,895</v>
      </c>
      <c r="K202" s="245">
        <v>0</v>
      </c>
      <c r="L202" s="28"/>
      <c r="M202" s="28" t="str">
        <f>CONCATENATE(SUMIF($E$6:$E202,$E202,$P$6:$P$370)," / ",SUMIF($E$6:$E$370,$E202,$P$6:$P$370))</f>
        <v>0 / 0</v>
      </c>
      <c r="N202" s="28" t="str">
        <f ca="1">CONCATENATE(SUMIF($F$6:$F202,$F202,$P202)," / ",SUMIF($F$6:$F$370,$F202,$P$6:$P$370))</f>
        <v>0 / 0</v>
      </c>
      <c r="O202" s="28" t="str">
        <f t="shared" si="24"/>
        <v>0 / 30</v>
      </c>
      <c r="P202" s="245">
        <v>0</v>
      </c>
      <c r="Q202" s="28"/>
      <c r="R202" s="246">
        <v>0</v>
      </c>
      <c r="S202" s="28" t="str">
        <f>CONCATENATE(SUMIF($E$6:$E202,E202,$R$6:$R$370)," / ",SUMIF($E$6:$E$370,E202,$R$6:$R$370))</f>
        <v>0 / 0</v>
      </c>
      <c r="T202" s="28" t="str">
        <f>CONCATENATE(SUMIF($F$6:$F202,$F202,$R$6:$R$370)," / ",SUMIF($F$6:$F$370,$F202,$R$6:$R$370))</f>
        <v>0 / 0</v>
      </c>
      <c r="U202" s="28" t="str">
        <f>CONCATENATE(SUM($R$6:$R202)," / ",SUM($R$6:$R$370))</f>
        <v>0 / 0</v>
      </c>
    </row>
    <row r="203" spans="2:21" ht="13" thickBot="1">
      <c r="B203" s="28"/>
      <c r="C203" s="237">
        <f t="shared" si="25"/>
        <v>42567</v>
      </c>
      <c r="D203" s="35" t="str">
        <f t="shared" si="21"/>
        <v>samedi</v>
      </c>
      <c r="E203" s="124">
        <f t="shared" si="22"/>
        <v>29</v>
      </c>
      <c r="F203" s="124">
        <f t="shared" si="23"/>
        <v>7</v>
      </c>
      <c r="G203" s="27"/>
      <c r="H203" s="28" t="str">
        <f>CONCATENATE(SUMIF($E$6:$E203,$E203,$K$6:$K$370)," / ",SUMIF($E$6:$E$370,$E203,$K$6:$K567))</f>
        <v>0 / 0</v>
      </c>
      <c r="I203" s="28" t="str">
        <f>CONCATENATE(SUMIF($F$6:$F203,$F203,$K$6:$K567)," / ",SUMIF($F$6:$F$370,$F203,$K$6:$K567))</f>
        <v>0 / 0</v>
      </c>
      <c r="J203" s="28" t="str">
        <f>CONCATENATE(SUM($K$6:$K203)," / ",SUM($K$6:$K$370))</f>
        <v>180,895 / 180,895</v>
      </c>
      <c r="K203" s="245">
        <v>0</v>
      </c>
      <c r="L203" s="28"/>
      <c r="M203" s="28" t="str">
        <f>CONCATENATE(SUMIF($E$6:$E203,$E203,$P$6:$P$370)," / ",SUMIF($E$6:$E$370,$E203,$P$6:$P$370))</f>
        <v>0 / 0</v>
      </c>
      <c r="N203" s="28" t="str">
        <f ca="1">CONCATENATE(SUMIF($F$6:$F203,$F203,$P203)," / ",SUMIF($F$6:$F$370,$F203,$P$6:$P$370))</f>
        <v>0 / 0</v>
      </c>
      <c r="O203" s="28" t="str">
        <f t="shared" si="24"/>
        <v>0 / 30</v>
      </c>
      <c r="P203" s="245">
        <v>0</v>
      </c>
      <c r="Q203" s="28"/>
      <c r="R203" s="246">
        <v>0</v>
      </c>
      <c r="S203" s="28" t="str">
        <f>CONCATENATE(SUMIF($E$6:$E203,E203,$R$6:$R$370)," / ",SUMIF($E$6:$E$370,E203,$R$6:$R$370))</f>
        <v>0 / 0</v>
      </c>
      <c r="T203" s="28" t="str">
        <f>CONCATENATE(SUMIF($F$6:$F203,$F203,$R$6:$R$370)," / ",SUMIF($F$6:$F$370,$F203,$R$6:$R$370))</f>
        <v>0 / 0</v>
      </c>
      <c r="U203" s="28" t="str">
        <f>CONCATENATE(SUM($R$6:$R203)," / ",SUM($R$6:$R$370))</f>
        <v>0 / 0</v>
      </c>
    </row>
    <row r="204" spans="2:21" ht="13" thickBot="1">
      <c r="B204" s="28"/>
      <c r="C204" s="237">
        <f t="shared" si="25"/>
        <v>42568</v>
      </c>
      <c r="D204" s="35" t="str">
        <f t="shared" si="21"/>
        <v>Dimanche</v>
      </c>
      <c r="E204" s="124">
        <f t="shared" si="22"/>
        <v>30</v>
      </c>
      <c r="F204" s="124">
        <f t="shared" si="23"/>
        <v>7</v>
      </c>
      <c r="G204" s="27"/>
      <c r="H204" s="28" t="str">
        <f>CONCATENATE(SUMIF($E$6:$E204,$E204,$K$6:$K$370)," / ",SUMIF($E$6:$E$370,$E204,$K$6:$K568))</f>
        <v>0 / 0</v>
      </c>
      <c r="I204" s="28" t="str">
        <f>CONCATENATE(SUMIF($F$6:$F204,$F204,$K$6:$K568)," / ",SUMIF($F$6:$F$370,$F204,$K$6:$K568))</f>
        <v>0 / 0</v>
      </c>
      <c r="J204" s="28" t="str">
        <f>CONCATENATE(SUM($K$6:$K204)," / ",SUM($K$6:$K$370))</f>
        <v>180,895 / 180,895</v>
      </c>
      <c r="K204" s="245">
        <v>0</v>
      </c>
      <c r="L204" s="28"/>
      <c r="M204" s="28" t="str">
        <f>CONCATENATE(SUMIF($E$6:$E204,$E204,$P$6:$P$370)," / ",SUMIF($E$6:$E$370,$E204,$P$6:$P$370))</f>
        <v>0 / 0</v>
      </c>
      <c r="N204" s="28" t="str">
        <f ca="1">CONCATENATE(SUMIF($F$6:$F204,$F204,$P204)," / ",SUMIF($F$6:$F$370,$F204,$P$6:$P$370))</f>
        <v>0 / 0</v>
      </c>
      <c r="O204" s="28" t="str">
        <f t="shared" si="24"/>
        <v>0 / 30</v>
      </c>
      <c r="P204" s="245">
        <v>0</v>
      </c>
      <c r="Q204" s="28"/>
      <c r="R204" s="246">
        <v>0</v>
      </c>
      <c r="S204" s="28" t="str">
        <f>CONCATENATE(SUMIF($E$6:$E204,E204,$R$6:$R$370)," / ",SUMIF($E$6:$E$370,E204,$R$6:$R$370))</f>
        <v>0 / 0</v>
      </c>
      <c r="T204" s="28" t="str">
        <f>CONCATENATE(SUMIF($F$6:$F204,$F204,$R$6:$R$370)," / ",SUMIF($F$6:$F$370,$F204,$R$6:$R$370))</f>
        <v>0 / 0</v>
      </c>
      <c r="U204" s="28" t="str">
        <f>CONCATENATE(SUM($R$6:$R204)," / ",SUM($R$6:$R$370))</f>
        <v>0 / 0</v>
      </c>
    </row>
    <row r="205" spans="2:21" ht="13" thickBot="1">
      <c r="B205" s="28"/>
      <c r="C205" s="237">
        <f t="shared" si="25"/>
        <v>42569</v>
      </c>
      <c r="D205" s="35" t="str">
        <f t="shared" si="21"/>
        <v>Lundi</v>
      </c>
      <c r="E205" s="124">
        <f t="shared" si="22"/>
        <v>30</v>
      </c>
      <c r="F205" s="124">
        <f t="shared" si="23"/>
        <v>7</v>
      </c>
      <c r="G205" s="27"/>
      <c r="H205" s="28" t="str">
        <f>CONCATENATE(SUMIF($E$6:$E205,$E205,$K$6:$K$370)," / ",SUMIF($E$6:$E$370,$E205,$K$6:$K569))</f>
        <v>0 / 0</v>
      </c>
      <c r="I205" s="28" t="str">
        <f>CONCATENATE(SUMIF($F$6:$F205,$F205,$K$6:$K569)," / ",SUMIF($F$6:$F$370,$F205,$K$6:$K569))</f>
        <v>0 / 0</v>
      </c>
      <c r="J205" s="28" t="str">
        <f>CONCATENATE(SUM($K$6:$K205)," / ",SUM($K$6:$K$370))</f>
        <v>180,895 / 180,895</v>
      </c>
      <c r="K205" s="245">
        <v>0</v>
      </c>
      <c r="L205" s="28"/>
      <c r="M205" s="28" t="str">
        <f>CONCATENATE(SUMIF($E$6:$E205,$E205,$P$6:$P$370)," / ",SUMIF($E$6:$E$370,$E205,$P$6:$P$370))</f>
        <v>0 / 0</v>
      </c>
      <c r="N205" s="28" t="str">
        <f ca="1">CONCATENATE(SUMIF($F$6:$F205,$F205,$P205)," / ",SUMIF($F$6:$F$370,$F205,$P$6:$P$370))</f>
        <v>0 / 0</v>
      </c>
      <c r="O205" s="28" t="str">
        <f t="shared" si="24"/>
        <v>0 / 30</v>
      </c>
      <c r="P205" s="245">
        <v>0</v>
      </c>
      <c r="Q205" s="28"/>
      <c r="R205" s="246">
        <v>0</v>
      </c>
      <c r="S205" s="28" t="str">
        <f>CONCATENATE(SUMIF($E$6:$E205,E205,$R$6:$R$370)," / ",SUMIF($E$6:$E$370,E205,$R$6:$R$370))</f>
        <v>0 / 0</v>
      </c>
      <c r="T205" s="28" t="str">
        <f>CONCATENATE(SUMIF($F$6:$F205,$F205,$R$6:$R$370)," / ",SUMIF($F$6:$F$370,$F205,$R$6:$R$370))</f>
        <v>0 / 0</v>
      </c>
      <c r="U205" s="28" t="str">
        <f>CONCATENATE(SUM($R$6:$R205)," / ",SUM($R$6:$R$370))</f>
        <v>0 / 0</v>
      </c>
    </row>
    <row r="206" spans="2:21" ht="13" thickBot="1">
      <c r="B206" s="28"/>
      <c r="C206" s="237">
        <f t="shared" si="25"/>
        <v>42570</v>
      </c>
      <c r="D206" s="35" t="str">
        <f t="shared" si="21"/>
        <v>Mardi</v>
      </c>
      <c r="E206" s="124">
        <f t="shared" si="22"/>
        <v>30</v>
      </c>
      <c r="F206" s="124">
        <f t="shared" si="23"/>
        <v>7</v>
      </c>
      <c r="G206" s="27"/>
      <c r="H206" s="28" t="str">
        <f>CONCATENATE(SUMIF($E$6:$E206,$E206,$K$6:$K$370)," / ",SUMIF($E$6:$E$370,$E206,$K$6:$K570))</f>
        <v>0 / 0</v>
      </c>
      <c r="I206" s="28" t="str">
        <f>CONCATENATE(SUMIF($F$6:$F206,$F206,$K$6:$K570)," / ",SUMIF($F$6:$F$370,$F206,$K$6:$K570))</f>
        <v>0 / 0</v>
      </c>
      <c r="J206" s="28" t="str">
        <f>CONCATENATE(SUM($K$6:$K206)," / ",SUM($K$6:$K$370))</f>
        <v>180,895 / 180,895</v>
      </c>
      <c r="K206" s="245">
        <v>0</v>
      </c>
      <c r="L206" s="28"/>
      <c r="M206" s="28" t="str">
        <f>CONCATENATE(SUMIF($E$6:$E206,$E206,$P$6:$P$370)," / ",SUMIF($E$6:$E$370,$E206,$P$6:$P$370))</f>
        <v>0 / 0</v>
      </c>
      <c r="N206" s="28" t="str">
        <f ca="1">CONCATENATE(SUMIF($F$6:$F206,$F206,$P206)," / ",SUMIF($F$6:$F$370,$F206,$P$6:$P$370))</f>
        <v>0 / 0</v>
      </c>
      <c r="O206" s="28" t="str">
        <f t="shared" si="24"/>
        <v>0 / 30</v>
      </c>
      <c r="P206" s="245">
        <v>0</v>
      </c>
      <c r="Q206" s="28"/>
      <c r="R206" s="246">
        <v>0</v>
      </c>
      <c r="S206" s="28" t="str">
        <f>CONCATENATE(SUMIF($E$6:$E206,E206,$R$6:$R$370)," / ",SUMIF($E$6:$E$370,E206,$R$6:$R$370))</f>
        <v>0 / 0</v>
      </c>
      <c r="T206" s="28" t="str">
        <f>CONCATENATE(SUMIF($F$6:$F206,$F206,$R$6:$R$370)," / ",SUMIF($F$6:$F$370,$F206,$R$6:$R$370))</f>
        <v>0 / 0</v>
      </c>
      <c r="U206" s="28" t="str">
        <f>CONCATENATE(SUM($R$6:$R206)," / ",SUM($R$6:$R$370))</f>
        <v>0 / 0</v>
      </c>
    </row>
    <row r="207" spans="2:21" ht="13" thickBot="1">
      <c r="B207" s="28"/>
      <c r="C207" s="237">
        <f t="shared" si="25"/>
        <v>42571</v>
      </c>
      <c r="D207" s="35" t="str">
        <f t="shared" si="21"/>
        <v>Mercredi</v>
      </c>
      <c r="E207" s="124">
        <f t="shared" si="22"/>
        <v>30</v>
      </c>
      <c r="F207" s="124">
        <f t="shared" si="23"/>
        <v>7</v>
      </c>
      <c r="G207" s="27"/>
      <c r="H207" s="28" t="str">
        <f>CONCATENATE(SUMIF($E$6:$E207,$E207,$K$6:$K$370)," / ",SUMIF($E$6:$E$370,$E207,$K$6:$K571))</f>
        <v>0 / 0</v>
      </c>
      <c r="I207" s="28" t="str">
        <f>CONCATENATE(SUMIF($F$6:$F207,$F207,$K$6:$K571)," / ",SUMIF($F$6:$F$370,$F207,$K$6:$K571))</f>
        <v>0 / 0</v>
      </c>
      <c r="J207" s="28" t="str">
        <f>CONCATENATE(SUM($K$6:$K207)," / ",SUM($K$6:$K$370))</f>
        <v>180,895 / 180,895</v>
      </c>
      <c r="K207" s="245">
        <v>0</v>
      </c>
      <c r="L207" s="28"/>
      <c r="M207" s="28" t="str">
        <f>CONCATENATE(SUMIF($E$6:$E207,$E207,$P$6:$P$370)," / ",SUMIF($E$6:$E$370,$E207,$P$6:$P$370))</f>
        <v>0 / 0</v>
      </c>
      <c r="N207" s="28" t="str">
        <f ca="1">CONCATENATE(SUMIF($F$6:$F207,$F207,$P207)," / ",SUMIF($F$6:$F$370,$F207,$P$6:$P$370))</f>
        <v>0 / 0</v>
      </c>
      <c r="O207" s="28" t="str">
        <f t="shared" si="24"/>
        <v>0 / 30</v>
      </c>
      <c r="P207" s="245">
        <v>0</v>
      </c>
      <c r="Q207" s="28"/>
      <c r="R207" s="246">
        <v>0</v>
      </c>
      <c r="S207" s="28" t="str">
        <f>CONCATENATE(SUMIF($E$6:$E207,E207,$R$6:$R$370)," / ",SUMIF($E$6:$E$370,E207,$R$6:$R$370))</f>
        <v>0 / 0</v>
      </c>
      <c r="T207" s="28" t="str">
        <f>CONCATENATE(SUMIF($F$6:$F207,$F207,$R$6:$R$370)," / ",SUMIF($F$6:$F$370,$F207,$R$6:$R$370))</f>
        <v>0 / 0</v>
      </c>
      <c r="U207" s="28" t="str">
        <f>CONCATENATE(SUM($R$6:$R207)," / ",SUM($R$6:$R$370))</f>
        <v>0 / 0</v>
      </c>
    </row>
    <row r="208" spans="2:21" ht="13" thickBot="1">
      <c r="B208" s="28"/>
      <c r="C208" s="237">
        <f t="shared" si="25"/>
        <v>42572</v>
      </c>
      <c r="D208" s="35" t="str">
        <f t="shared" si="21"/>
        <v>Jeudi</v>
      </c>
      <c r="E208" s="124">
        <f t="shared" si="22"/>
        <v>30</v>
      </c>
      <c r="F208" s="124">
        <f t="shared" si="23"/>
        <v>7</v>
      </c>
      <c r="G208" s="27"/>
      <c r="H208" s="28" t="str">
        <f>CONCATENATE(SUMIF($E$6:$E208,$E208,$K$6:$K$370)," / ",SUMIF($E$6:$E$370,$E208,$K$6:$K572))</f>
        <v>0 / 0</v>
      </c>
      <c r="I208" s="28" t="str">
        <f>CONCATENATE(SUMIF($F$6:$F208,$F208,$K$6:$K572)," / ",SUMIF($F$6:$F$370,$F208,$K$6:$K572))</f>
        <v>0 / 0</v>
      </c>
      <c r="J208" s="28" t="str">
        <f>CONCATENATE(SUM($K$6:$K208)," / ",SUM($K$6:$K$370))</f>
        <v>180,895 / 180,895</v>
      </c>
      <c r="K208" s="245">
        <v>0</v>
      </c>
      <c r="L208" s="28"/>
      <c r="M208" s="28" t="str">
        <f>CONCATENATE(SUMIF($E$6:$E208,$E208,$P$6:$P$370)," / ",SUMIF($E$6:$E$370,$E208,$P$6:$P$370))</f>
        <v>0 / 0</v>
      </c>
      <c r="N208" s="28" t="str">
        <f ca="1">CONCATENATE(SUMIF($F$6:$F208,$F208,$P208)," / ",SUMIF($F$6:$F$370,$F208,$P$6:$P$370))</f>
        <v>0 / 0</v>
      </c>
      <c r="O208" s="28" t="str">
        <f t="shared" si="24"/>
        <v>0 / 30</v>
      </c>
      <c r="P208" s="245">
        <v>0</v>
      </c>
      <c r="Q208" s="28"/>
      <c r="R208" s="246">
        <v>0</v>
      </c>
      <c r="S208" s="28" t="str">
        <f>CONCATENATE(SUMIF($E$6:$E208,E208,$R$6:$R$370)," / ",SUMIF($E$6:$E$370,E208,$R$6:$R$370))</f>
        <v>0 / 0</v>
      </c>
      <c r="T208" s="28" t="str">
        <f>CONCATENATE(SUMIF($F$6:$F208,$F208,$R$6:$R$370)," / ",SUMIF($F$6:$F$370,$F208,$R$6:$R$370))</f>
        <v>0 / 0</v>
      </c>
      <c r="U208" s="28" t="str">
        <f>CONCATENATE(SUM($R$6:$R208)," / ",SUM($R$6:$R$370))</f>
        <v>0 / 0</v>
      </c>
    </row>
    <row r="209" spans="2:21" ht="13" thickBot="1">
      <c r="B209" s="28"/>
      <c r="C209" s="237">
        <f t="shared" si="25"/>
        <v>42573</v>
      </c>
      <c r="D209" s="35" t="str">
        <f t="shared" si="21"/>
        <v>Vendredi</v>
      </c>
      <c r="E209" s="124">
        <f t="shared" si="22"/>
        <v>30</v>
      </c>
      <c r="F209" s="124">
        <f t="shared" si="23"/>
        <v>7</v>
      </c>
      <c r="G209" s="27"/>
      <c r="H209" s="28" t="str">
        <f>CONCATENATE(SUMIF($E$6:$E209,$E209,$K$6:$K$370)," / ",SUMIF($E$6:$E$370,$E209,$K$6:$K573))</f>
        <v>0 / 0</v>
      </c>
      <c r="I209" s="28" t="str">
        <f>CONCATENATE(SUMIF($F$6:$F209,$F209,$K$6:$K573)," / ",SUMIF($F$6:$F$370,$F209,$K$6:$K573))</f>
        <v>0 / 0</v>
      </c>
      <c r="J209" s="28" t="str">
        <f>CONCATENATE(SUM($K$6:$K209)," / ",SUM($K$6:$K$370))</f>
        <v>180,895 / 180,895</v>
      </c>
      <c r="K209" s="245">
        <v>0</v>
      </c>
      <c r="L209" s="28"/>
      <c r="M209" s="28" t="str">
        <f>CONCATENATE(SUMIF($E$6:$E209,$E209,$P$6:$P$370)," / ",SUMIF($E$6:$E$370,$E209,$P$6:$P$370))</f>
        <v>0 / 0</v>
      </c>
      <c r="N209" s="28" t="str">
        <f ca="1">CONCATENATE(SUMIF($F$6:$F209,$F209,$P209)," / ",SUMIF($F$6:$F$370,$F209,$P$6:$P$370))</f>
        <v>0 / 0</v>
      </c>
      <c r="O209" s="28" t="str">
        <f t="shared" si="24"/>
        <v>0 / 30</v>
      </c>
      <c r="P209" s="245">
        <v>0</v>
      </c>
      <c r="Q209" s="28"/>
      <c r="R209" s="246">
        <v>0</v>
      </c>
      <c r="S209" s="28" t="str">
        <f>CONCATENATE(SUMIF($E$6:$E209,E209,$R$6:$R$370)," / ",SUMIF($E$6:$E$370,E209,$R$6:$R$370))</f>
        <v>0 / 0</v>
      </c>
      <c r="T209" s="28" t="str">
        <f>CONCATENATE(SUMIF($F$6:$F209,$F209,$R$6:$R$370)," / ",SUMIF($F$6:$F$370,$F209,$R$6:$R$370))</f>
        <v>0 / 0</v>
      </c>
      <c r="U209" s="28" t="str">
        <f>CONCATENATE(SUM($R$6:$R209)," / ",SUM($R$6:$R$370))</f>
        <v>0 / 0</v>
      </c>
    </row>
    <row r="210" spans="2:21" ht="13" thickBot="1">
      <c r="B210" s="28"/>
      <c r="C210" s="237">
        <f t="shared" si="25"/>
        <v>42574</v>
      </c>
      <c r="D210" s="35" t="str">
        <f t="shared" si="21"/>
        <v>samedi</v>
      </c>
      <c r="E210" s="124">
        <f t="shared" si="22"/>
        <v>30</v>
      </c>
      <c r="F210" s="124">
        <f t="shared" si="23"/>
        <v>7</v>
      </c>
      <c r="G210" s="27"/>
      <c r="H210" s="28" t="str">
        <f>CONCATENATE(SUMIF($E$6:$E210,$E210,$K$6:$K$370)," / ",SUMIF($E$6:$E$370,$E210,$K$6:$K574))</f>
        <v>0 / 0</v>
      </c>
      <c r="I210" s="28" t="str">
        <f>CONCATENATE(SUMIF($F$6:$F210,$F210,$K$6:$K574)," / ",SUMIF($F$6:$F$370,$F210,$K$6:$K574))</f>
        <v>0 / 0</v>
      </c>
      <c r="J210" s="28" t="str">
        <f>CONCATENATE(SUM($K$6:$K210)," / ",SUM($K$6:$K$370))</f>
        <v>180,895 / 180,895</v>
      </c>
      <c r="K210" s="245">
        <v>0</v>
      </c>
      <c r="L210" s="28"/>
      <c r="M210" s="28" t="str">
        <f>CONCATENATE(SUMIF($E$6:$E210,$E210,$P$6:$P$370)," / ",SUMIF($E$6:$E$370,$E210,$P$6:$P$370))</f>
        <v>0 / 0</v>
      </c>
      <c r="N210" s="28" t="str">
        <f ca="1">CONCATENATE(SUMIF($F$6:$F210,$F210,$P210)," / ",SUMIF($F$6:$F$370,$F210,$P$6:$P$370))</f>
        <v>0 / 0</v>
      </c>
      <c r="O210" s="28" t="str">
        <f t="shared" si="24"/>
        <v>0 / 30</v>
      </c>
      <c r="P210" s="245">
        <v>0</v>
      </c>
      <c r="Q210" s="28"/>
      <c r="R210" s="246">
        <v>0</v>
      </c>
      <c r="S210" s="28" t="str">
        <f>CONCATENATE(SUMIF($E$6:$E210,E210,$R$6:$R$370)," / ",SUMIF($E$6:$E$370,E210,$R$6:$R$370))</f>
        <v>0 / 0</v>
      </c>
      <c r="T210" s="28" t="str">
        <f>CONCATENATE(SUMIF($F$6:$F210,$F210,$R$6:$R$370)," / ",SUMIF($F$6:$F$370,$F210,$R$6:$R$370))</f>
        <v>0 / 0</v>
      </c>
      <c r="U210" s="28" t="str">
        <f>CONCATENATE(SUM($R$6:$R210)," / ",SUM($R$6:$R$370))</f>
        <v>0 / 0</v>
      </c>
    </row>
    <row r="211" spans="2:21" ht="13" thickBot="1">
      <c r="B211" s="28"/>
      <c r="C211" s="237">
        <f t="shared" si="25"/>
        <v>42575</v>
      </c>
      <c r="D211" s="35" t="str">
        <f t="shared" si="21"/>
        <v>Dimanche</v>
      </c>
      <c r="E211" s="124">
        <f t="shared" si="22"/>
        <v>31</v>
      </c>
      <c r="F211" s="124">
        <f t="shared" si="23"/>
        <v>7</v>
      </c>
      <c r="G211" s="27"/>
      <c r="H211" s="28" t="str">
        <f>CONCATENATE(SUMIF($E$6:$E211,$E211,$K$6:$K$370)," / ",SUMIF($E$6:$E$370,$E211,$K$6:$K575))</f>
        <v>0 / 0</v>
      </c>
      <c r="I211" s="28" t="str">
        <f>CONCATENATE(SUMIF($F$6:$F211,$F211,$K$6:$K575)," / ",SUMIF($F$6:$F$370,$F211,$K$6:$K575))</f>
        <v>0 / 0</v>
      </c>
      <c r="J211" s="28" t="str">
        <f>CONCATENATE(SUM($K$6:$K211)," / ",SUM($K$6:$K$370))</f>
        <v>180,895 / 180,895</v>
      </c>
      <c r="K211" s="245">
        <v>0</v>
      </c>
      <c r="L211" s="28"/>
      <c r="M211" s="28" t="str">
        <f>CONCATENATE(SUMIF($E$6:$E211,$E211,$P$6:$P$370)," / ",SUMIF($E$6:$E$370,$E211,$P$6:$P$370))</f>
        <v>0 / 0</v>
      </c>
      <c r="N211" s="28" t="str">
        <f ca="1">CONCATENATE(SUMIF($F$6:$F211,$F211,$P211)," / ",SUMIF($F$6:$F$370,$F211,$P$6:$P$370))</f>
        <v>0 / 0</v>
      </c>
      <c r="O211" s="28" t="str">
        <f t="shared" si="24"/>
        <v>0 / 30</v>
      </c>
      <c r="P211" s="245">
        <v>0</v>
      </c>
      <c r="Q211" s="28"/>
      <c r="R211" s="246">
        <v>0</v>
      </c>
      <c r="S211" s="28" t="str">
        <f>CONCATENATE(SUMIF($E$6:$E211,E211,$R$6:$R$370)," / ",SUMIF($E$6:$E$370,E211,$R$6:$R$370))</f>
        <v>0 / 0</v>
      </c>
      <c r="T211" s="28" t="str">
        <f>CONCATENATE(SUMIF($F$6:$F211,$F211,$R$6:$R$370)," / ",SUMIF($F$6:$F$370,$F211,$R$6:$R$370))</f>
        <v>0 / 0</v>
      </c>
      <c r="U211" s="28" t="str">
        <f>CONCATENATE(SUM($R$6:$R211)," / ",SUM($R$6:$R$370))</f>
        <v>0 / 0</v>
      </c>
    </row>
    <row r="212" spans="2:21" ht="13" thickBot="1">
      <c r="B212" s="28"/>
      <c r="C212" s="237">
        <f t="shared" si="25"/>
        <v>42576</v>
      </c>
      <c r="D212" s="35" t="str">
        <f t="shared" si="21"/>
        <v>Lundi</v>
      </c>
      <c r="E212" s="124">
        <f t="shared" si="22"/>
        <v>31</v>
      </c>
      <c r="F212" s="124">
        <f t="shared" si="23"/>
        <v>7</v>
      </c>
      <c r="G212" s="27"/>
      <c r="H212" s="28" t="str">
        <f>CONCATENATE(SUMIF($E$6:$E212,$E212,$K$6:$K$370)," / ",SUMIF($E$6:$E$370,$E212,$K$6:$K576))</f>
        <v>0 / 0</v>
      </c>
      <c r="I212" s="28" t="str">
        <f>CONCATENATE(SUMIF($F$6:$F212,$F212,$K$6:$K576)," / ",SUMIF($F$6:$F$370,$F212,$K$6:$K576))</f>
        <v>0 / 0</v>
      </c>
      <c r="J212" s="28" t="str">
        <f>CONCATENATE(SUM($K$6:$K212)," / ",SUM($K$6:$K$370))</f>
        <v>180,895 / 180,895</v>
      </c>
      <c r="K212" s="245">
        <v>0</v>
      </c>
      <c r="L212" s="28"/>
      <c r="M212" s="28" t="str">
        <f>CONCATENATE(SUMIF($E$6:$E212,$E212,$P$6:$P$370)," / ",SUMIF($E$6:$E$370,$E212,$P$6:$P$370))</f>
        <v>0 / 0</v>
      </c>
      <c r="N212" s="28" t="str">
        <f ca="1">CONCATENATE(SUMIF($F$6:$F212,$F212,$P212)," / ",SUMIF($F$6:$F$370,$F212,$P$6:$P$370))</f>
        <v>0 / 0</v>
      </c>
      <c r="O212" s="28" t="str">
        <f t="shared" si="24"/>
        <v>0 / 30</v>
      </c>
      <c r="P212" s="245">
        <v>0</v>
      </c>
      <c r="Q212" s="28"/>
      <c r="R212" s="246">
        <v>0</v>
      </c>
      <c r="S212" s="28" t="str">
        <f>CONCATENATE(SUMIF($E$6:$E212,E212,$R$6:$R$370)," / ",SUMIF($E$6:$E$370,E212,$R$6:$R$370))</f>
        <v>0 / 0</v>
      </c>
      <c r="T212" s="28" t="str">
        <f>CONCATENATE(SUMIF($F$6:$F212,$F212,$R$6:$R$370)," / ",SUMIF($F$6:$F$370,$F212,$R$6:$R$370))</f>
        <v>0 / 0</v>
      </c>
      <c r="U212" s="28" t="str">
        <f>CONCATENATE(SUM($R$6:$R212)," / ",SUM($R$6:$R$370))</f>
        <v>0 / 0</v>
      </c>
    </row>
    <row r="213" spans="2:21" ht="13" thickBot="1">
      <c r="B213" s="28"/>
      <c r="C213" s="237">
        <f t="shared" si="25"/>
        <v>42577</v>
      </c>
      <c r="D213" s="35" t="str">
        <f t="shared" si="21"/>
        <v>Mardi</v>
      </c>
      <c r="E213" s="124">
        <f t="shared" si="22"/>
        <v>31</v>
      </c>
      <c r="F213" s="124">
        <f t="shared" si="23"/>
        <v>7</v>
      </c>
      <c r="G213" s="27"/>
      <c r="H213" s="28" t="str">
        <f>CONCATENATE(SUMIF($E$6:$E213,$E213,$K$6:$K$370)," / ",SUMIF($E$6:$E$370,$E213,$K$6:$K577))</f>
        <v>0 / 0</v>
      </c>
      <c r="I213" s="28" t="str">
        <f>CONCATENATE(SUMIF($F$6:$F213,$F213,$K$6:$K577)," / ",SUMIF($F$6:$F$370,$F213,$K$6:$K577))</f>
        <v>0 / 0</v>
      </c>
      <c r="J213" s="28" t="str">
        <f>CONCATENATE(SUM($K$6:$K213)," / ",SUM($K$6:$K$370))</f>
        <v>180,895 / 180,895</v>
      </c>
      <c r="K213" s="245">
        <v>0</v>
      </c>
      <c r="L213" s="28"/>
      <c r="M213" s="28" t="str">
        <f>CONCATENATE(SUMIF($E$6:$E213,$E213,$P$6:$P$370)," / ",SUMIF($E$6:$E$370,$E213,$P$6:$P$370))</f>
        <v>0 / 0</v>
      </c>
      <c r="N213" s="28" t="str">
        <f ca="1">CONCATENATE(SUMIF($F$6:$F213,$F213,$P213)," / ",SUMIF($F$6:$F$370,$F213,$P$6:$P$370))</f>
        <v>0 / 0</v>
      </c>
      <c r="O213" s="28" t="str">
        <f t="shared" si="24"/>
        <v>0 / 30</v>
      </c>
      <c r="P213" s="245">
        <v>0</v>
      </c>
      <c r="Q213" s="28"/>
      <c r="R213" s="246">
        <v>0</v>
      </c>
      <c r="S213" s="28" t="str">
        <f>CONCATENATE(SUMIF($E$6:$E213,E213,$R$6:$R$370)," / ",SUMIF($E$6:$E$370,E213,$R$6:$R$370))</f>
        <v>0 / 0</v>
      </c>
      <c r="T213" s="28" t="str">
        <f>CONCATENATE(SUMIF($F$6:$F213,$F213,$R$6:$R$370)," / ",SUMIF($F$6:$F$370,$F213,$R$6:$R$370))</f>
        <v>0 / 0</v>
      </c>
      <c r="U213" s="28" t="str">
        <f>CONCATENATE(SUM($R$6:$R213)," / ",SUM($R$6:$R$370))</f>
        <v>0 / 0</v>
      </c>
    </row>
    <row r="214" spans="2:21" ht="13" thickBot="1">
      <c r="B214" s="28"/>
      <c r="C214" s="237">
        <f t="shared" si="25"/>
        <v>42578</v>
      </c>
      <c r="D214" s="35" t="str">
        <f t="shared" si="21"/>
        <v>Mercredi</v>
      </c>
      <c r="E214" s="124">
        <f t="shared" si="22"/>
        <v>31</v>
      </c>
      <c r="F214" s="124">
        <f t="shared" si="23"/>
        <v>7</v>
      </c>
      <c r="G214" s="27"/>
      <c r="H214" s="28" t="str">
        <f>CONCATENATE(SUMIF($E$6:$E214,$E214,$K$6:$K$370)," / ",SUMIF($E$6:$E$370,$E214,$K$6:$K578))</f>
        <v>0 / 0</v>
      </c>
      <c r="I214" s="28" t="str">
        <f>CONCATENATE(SUMIF($F$6:$F214,$F214,$K$6:$K578)," / ",SUMIF($F$6:$F$370,$F214,$K$6:$K578))</f>
        <v>0 / 0</v>
      </c>
      <c r="J214" s="28" t="str">
        <f>CONCATENATE(SUM($K$6:$K214)," / ",SUM($K$6:$K$370))</f>
        <v>180,895 / 180,895</v>
      </c>
      <c r="K214" s="245">
        <v>0</v>
      </c>
      <c r="L214" s="28"/>
      <c r="M214" s="28" t="str">
        <f>CONCATENATE(SUMIF($E$6:$E214,$E214,$P$6:$P$370)," / ",SUMIF($E$6:$E$370,$E214,$P$6:$P$370))</f>
        <v>0 / 0</v>
      </c>
      <c r="N214" s="28" t="str">
        <f ca="1">CONCATENATE(SUMIF($F$6:$F214,$F214,$P214)," / ",SUMIF($F$6:$F$370,$F214,$P$6:$P$370))</f>
        <v>0 / 0</v>
      </c>
      <c r="O214" s="28" t="str">
        <f t="shared" si="24"/>
        <v>0 / 30</v>
      </c>
      <c r="P214" s="245">
        <v>0</v>
      </c>
      <c r="Q214" s="28"/>
      <c r="R214" s="246">
        <v>0</v>
      </c>
      <c r="S214" s="28" t="str">
        <f>CONCATENATE(SUMIF($E$6:$E214,E214,$R$6:$R$370)," / ",SUMIF($E$6:$E$370,E214,$R$6:$R$370))</f>
        <v>0 / 0</v>
      </c>
      <c r="T214" s="28" t="str">
        <f>CONCATENATE(SUMIF($F$6:$F214,$F214,$R$6:$R$370)," / ",SUMIF($F$6:$F$370,$F214,$R$6:$R$370))</f>
        <v>0 / 0</v>
      </c>
      <c r="U214" s="28" t="str">
        <f>CONCATENATE(SUM($R$6:$R214)," / ",SUM($R$6:$R$370))</f>
        <v>0 / 0</v>
      </c>
    </row>
    <row r="215" spans="2:21" ht="13" thickBot="1">
      <c r="B215" s="28"/>
      <c r="C215" s="237">
        <f t="shared" si="25"/>
        <v>42579</v>
      </c>
      <c r="D215" s="35" t="str">
        <f t="shared" si="21"/>
        <v>Jeudi</v>
      </c>
      <c r="E215" s="124">
        <f t="shared" si="22"/>
        <v>31</v>
      </c>
      <c r="F215" s="124">
        <f t="shared" si="23"/>
        <v>7</v>
      </c>
      <c r="G215" s="27"/>
      <c r="H215" s="28" t="str">
        <f>CONCATENATE(SUMIF($E$6:$E215,$E215,$K$6:$K$370)," / ",SUMIF($E$6:$E$370,$E215,$K$6:$K579))</f>
        <v>0 / 0</v>
      </c>
      <c r="I215" s="28" t="str">
        <f>CONCATENATE(SUMIF($F$6:$F215,$F215,$K$6:$K579)," / ",SUMIF($F$6:$F$370,$F215,$K$6:$K579))</f>
        <v>0 / 0</v>
      </c>
      <c r="J215" s="28" t="str">
        <f>CONCATENATE(SUM($K$6:$K215)," / ",SUM($K$6:$K$370))</f>
        <v>180,895 / 180,895</v>
      </c>
      <c r="K215" s="245">
        <v>0</v>
      </c>
      <c r="L215" s="28"/>
      <c r="M215" s="28" t="str">
        <f>CONCATENATE(SUMIF($E$6:$E215,$E215,$P$6:$P$370)," / ",SUMIF($E$6:$E$370,$E215,$P$6:$P$370))</f>
        <v>0 / 0</v>
      </c>
      <c r="N215" s="28" t="str">
        <f ca="1">CONCATENATE(SUMIF($F$6:$F215,$F215,$P215)," / ",SUMIF($F$6:$F$370,$F215,$P$6:$P$370))</f>
        <v>0 / 0</v>
      </c>
      <c r="O215" s="28" t="str">
        <f t="shared" si="24"/>
        <v>0 / 30</v>
      </c>
      <c r="P215" s="245">
        <v>0</v>
      </c>
      <c r="Q215" s="28"/>
      <c r="R215" s="246">
        <v>0</v>
      </c>
      <c r="S215" s="28" t="str">
        <f>CONCATENATE(SUMIF($E$6:$E215,E215,$R$6:$R$370)," / ",SUMIF($E$6:$E$370,E215,$R$6:$R$370))</f>
        <v>0 / 0</v>
      </c>
      <c r="T215" s="28" t="str">
        <f>CONCATENATE(SUMIF($F$6:$F215,$F215,$R$6:$R$370)," / ",SUMIF($F$6:$F$370,$F215,$R$6:$R$370))</f>
        <v>0 / 0</v>
      </c>
      <c r="U215" s="28" t="str">
        <f>CONCATENATE(SUM($R$6:$R215)," / ",SUM($R$6:$R$370))</f>
        <v>0 / 0</v>
      </c>
    </row>
    <row r="216" spans="2:21" ht="13" thickBot="1">
      <c r="B216" s="28"/>
      <c r="C216" s="237">
        <f t="shared" si="25"/>
        <v>42580</v>
      </c>
      <c r="D216" s="35" t="str">
        <f t="shared" si="21"/>
        <v>Vendredi</v>
      </c>
      <c r="E216" s="124">
        <f t="shared" si="22"/>
        <v>31</v>
      </c>
      <c r="F216" s="124">
        <f t="shared" si="23"/>
        <v>7</v>
      </c>
      <c r="G216" s="27"/>
      <c r="H216" s="28" t="str">
        <f>CONCATENATE(SUMIF($E$6:$E216,$E216,$K$6:$K$370)," / ",SUMIF($E$6:$E$370,$E216,$K$6:$K580))</f>
        <v>0 / 0</v>
      </c>
      <c r="I216" s="28" t="str">
        <f>CONCATENATE(SUMIF($F$6:$F216,$F216,$K$6:$K580)," / ",SUMIF($F$6:$F$370,$F216,$K$6:$K580))</f>
        <v>0 / 0</v>
      </c>
      <c r="J216" s="28" t="str">
        <f>CONCATENATE(SUM($K$6:$K216)," / ",SUM($K$6:$K$370))</f>
        <v>180,895 / 180,895</v>
      </c>
      <c r="K216" s="245">
        <v>0</v>
      </c>
      <c r="L216" s="28"/>
      <c r="M216" s="28" t="str">
        <f>CONCATENATE(SUMIF($E$6:$E216,$E216,$P$6:$P$370)," / ",SUMIF($E$6:$E$370,$E216,$P$6:$P$370))</f>
        <v>0 / 0</v>
      </c>
      <c r="N216" s="28" t="str">
        <f ca="1">CONCATENATE(SUMIF($F$6:$F216,$F216,$P216)," / ",SUMIF($F$6:$F$370,$F216,$P$6:$P$370))</f>
        <v>0 / 0</v>
      </c>
      <c r="O216" s="28" t="str">
        <f t="shared" si="24"/>
        <v>0 / 30</v>
      </c>
      <c r="P216" s="245">
        <v>0</v>
      </c>
      <c r="Q216" s="28"/>
      <c r="R216" s="246">
        <v>0</v>
      </c>
      <c r="S216" s="28" t="str">
        <f>CONCATENATE(SUMIF($E$6:$E216,E216,$R$6:$R$370)," / ",SUMIF($E$6:$E$370,E216,$R$6:$R$370))</f>
        <v>0 / 0</v>
      </c>
      <c r="T216" s="28" t="str">
        <f>CONCATENATE(SUMIF($F$6:$F216,$F216,$R$6:$R$370)," / ",SUMIF($F$6:$F$370,$F216,$R$6:$R$370))</f>
        <v>0 / 0</v>
      </c>
      <c r="U216" s="28" t="str">
        <f>CONCATENATE(SUM($R$6:$R216)," / ",SUM($R$6:$R$370))</f>
        <v>0 / 0</v>
      </c>
    </row>
    <row r="217" spans="2:21" ht="13" thickBot="1">
      <c r="B217" s="28"/>
      <c r="C217" s="237">
        <f t="shared" si="25"/>
        <v>42581</v>
      </c>
      <c r="D217" s="35" t="str">
        <f t="shared" si="21"/>
        <v>samedi</v>
      </c>
      <c r="E217" s="124">
        <f t="shared" si="22"/>
        <v>31</v>
      </c>
      <c r="F217" s="124">
        <f t="shared" si="23"/>
        <v>7</v>
      </c>
      <c r="G217" s="27"/>
      <c r="H217" s="28" t="str">
        <f>CONCATENATE(SUMIF($E$6:$E217,$E217,$K$6:$K$370)," / ",SUMIF($E$6:$E$370,$E217,$K$6:$K581))</f>
        <v>0 / 0</v>
      </c>
      <c r="I217" s="28" t="str">
        <f>CONCATENATE(SUMIF($F$6:$F217,$F217,$K$6:$K581)," / ",SUMIF($F$6:$F$370,$F217,$K$6:$K581))</f>
        <v>0 / 0</v>
      </c>
      <c r="J217" s="28" t="str">
        <f>CONCATENATE(SUM($K$6:$K217)," / ",SUM($K$6:$K$370))</f>
        <v>180,895 / 180,895</v>
      </c>
      <c r="K217" s="245">
        <v>0</v>
      </c>
      <c r="L217" s="28"/>
      <c r="M217" s="28" t="str">
        <f>CONCATENATE(SUMIF($E$6:$E217,$E217,$P$6:$P$370)," / ",SUMIF($E$6:$E$370,$E217,$P$6:$P$370))</f>
        <v>0 / 0</v>
      </c>
      <c r="N217" s="28" t="str">
        <f ca="1">CONCATENATE(SUMIF($F$6:$F217,$F217,$P217)," / ",SUMIF($F$6:$F$370,$F217,$P$6:$P$370))</f>
        <v>0 / 0</v>
      </c>
      <c r="O217" s="28" t="str">
        <f t="shared" si="24"/>
        <v>0 / 30</v>
      </c>
      <c r="P217" s="245">
        <v>0</v>
      </c>
      <c r="Q217" s="28"/>
      <c r="R217" s="246">
        <v>0</v>
      </c>
      <c r="S217" s="28" t="str">
        <f>CONCATENATE(SUMIF($E$6:$E217,E217,$R$6:$R$370)," / ",SUMIF($E$6:$E$370,E217,$R$6:$R$370))</f>
        <v>0 / 0</v>
      </c>
      <c r="T217" s="28" t="str">
        <f>CONCATENATE(SUMIF($F$6:$F217,$F217,$R$6:$R$370)," / ",SUMIF($F$6:$F$370,$F217,$R$6:$R$370))</f>
        <v>0 / 0</v>
      </c>
      <c r="U217" s="28" t="str">
        <f>CONCATENATE(SUM($R$6:$R217)," / ",SUM($R$6:$R$370))</f>
        <v>0 / 0</v>
      </c>
    </row>
    <row r="218" spans="2:21" ht="13" thickBot="1">
      <c r="B218" s="28"/>
      <c r="C218" s="237">
        <f t="shared" si="25"/>
        <v>42582</v>
      </c>
      <c r="D218" s="35" t="str">
        <f t="shared" si="21"/>
        <v>Dimanche</v>
      </c>
      <c r="E218" s="124">
        <f t="shared" si="22"/>
        <v>32</v>
      </c>
      <c r="F218" s="124">
        <f t="shared" si="23"/>
        <v>7</v>
      </c>
      <c r="G218" s="27"/>
      <c r="H218" s="28" t="str">
        <f>CONCATENATE(SUMIF($E$6:$E218,$E218,$K$6:$K$370)," / ",SUMIF($E$6:$E$370,$E218,$K$6:$K582))</f>
        <v>0 / 0</v>
      </c>
      <c r="I218" s="28" t="str">
        <f>CONCATENATE(SUMIF($F$6:$F218,$F218,$K$6:$K582)," / ",SUMIF($F$6:$F$370,$F218,$K$6:$K582))</f>
        <v>0 / 0</v>
      </c>
      <c r="J218" s="28" t="str">
        <f>CONCATENATE(SUM($K$6:$K218)," / ",SUM($K$6:$K$370))</f>
        <v>180,895 / 180,895</v>
      </c>
      <c r="K218" s="245">
        <v>0</v>
      </c>
      <c r="L218" s="28"/>
      <c r="M218" s="28" t="str">
        <f>CONCATENATE(SUMIF($E$6:$E218,$E218,$P$6:$P$370)," / ",SUMIF($E$6:$E$370,$E218,$P$6:$P$370))</f>
        <v>0 / 0</v>
      </c>
      <c r="N218" s="28" t="str">
        <f ca="1">CONCATENATE(SUMIF($F$6:$F218,$F218,$P218)," / ",SUMIF($F$6:$F$370,$F218,$P$6:$P$370))</f>
        <v>0 / 0</v>
      </c>
      <c r="O218" s="28" t="str">
        <f t="shared" si="24"/>
        <v>0 / 30</v>
      </c>
      <c r="P218" s="245">
        <v>0</v>
      </c>
      <c r="Q218" s="28"/>
      <c r="R218" s="246">
        <v>0</v>
      </c>
      <c r="S218" s="28" t="str">
        <f>CONCATENATE(SUMIF($E$6:$E218,E218,$R$6:$R$370)," / ",SUMIF($E$6:$E$370,E218,$R$6:$R$370))</f>
        <v>0 / 0</v>
      </c>
      <c r="T218" s="28" t="str">
        <f>CONCATENATE(SUMIF($F$6:$F218,$F218,$R$6:$R$370)," / ",SUMIF($F$6:$F$370,$F218,$R$6:$R$370))</f>
        <v>0 / 0</v>
      </c>
      <c r="U218" s="28" t="str">
        <f>CONCATENATE(SUM($R$6:$R218)," / ",SUM($R$6:$R$370))</f>
        <v>0 / 0</v>
      </c>
    </row>
    <row r="219" spans="2:21" ht="13" thickBot="1">
      <c r="B219" s="28"/>
      <c r="C219" s="237">
        <f t="shared" si="25"/>
        <v>42583</v>
      </c>
      <c r="D219" s="35" t="str">
        <f t="shared" si="21"/>
        <v>Lundi</v>
      </c>
      <c r="E219" s="124">
        <f t="shared" si="22"/>
        <v>32</v>
      </c>
      <c r="F219" s="124">
        <f t="shared" si="23"/>
        <v>8</v>
      </c>
      <c r="G219" s="27"/>
      <c r="H219" s="28" t="str">
        <f>CONCATENATE(SUMIF($E$6:$E219,$E219,$K$6:$K$370)," / ",SUMIF($E$6:$E$370,$E219,$K$6:$K583))</f>
        <v>0 / 0</v>
      </c>
      <c r="I219" s="28" t="str">
        <f>CONCATENATE(SUMIF($F$6:$F219,$F219,$K$6:$K583)," / ",SUMIF($F$6:$F$370,$F219,$K$6:$K583))</f>
        <v>0 / 0</v>
      </c>
      <c r="J219" s="28" t="str">
        <f>CONCATENATE(SUM($K$6:$K219)," / ",SUM($K$6:$K$370))</f>
        <v>180,895 / 180,895</v>
      </c>
      <c r="K219" s="245">
        <v>0</v>
      </c>
      <c r="L219" s="28"/>
      <c r="M219" s="28" t="str">
        <f>CONCATENATE(SUMIF($E$6:$E219,$E219,$P$6:$P$370)," / ",SUMIF($E$6:$E$370,$E219,$P$6:$P$370))</f>
        <v>0 / 0</v>
      </c>
      <c r="N219" s="28" t="str">
        <f ca="1">CONCATENATE(SUMIF($F$6:$F219,$F219,$P219)," / ",SUMIF($F$6:$F$370,$F219,$P$6:$P$370))</f>
        <v>0 / 0</v>
      </c>
      <c r="O219" s="28" t="str">
        <f t="shared" si="24"/>
        <v>0 / 30</v>
      </c>
      <c r="P219" s="245">
        <v>0</v>
      </c>
      <c r="Q219" s="28"/>
      <c r="R219" s="246">
        <v>0</v>
      </c>
      <c r="S219" s="28" t="str">
        <f>CONCATENATE(SUMIF($E$6:$E219,E219,$R$6:$R$370)," / ",SUMIF($E$6:$E$370,E219,$R$6:$R$370))</f>
        <v>0 / 0</v>
      </c>
      <c r="T219" s="28" t="str">
        <f>CONCATENATE(SUMIF($F$6:$F219,$F219,$R$6:$R$370)," / ",SUMIF($F$6:$F$370,$F219,$R$6:$R$370))</f>
        <v>0 / 0</v>
      </c>
      <c r="U219" s="28" t="str">
        <f>CONCATENATE(SUM($R$6:$R219)," / ",SUM($R$6:$R$370))</f>
        <v>0 / 0</v>
      </c>
    </row>
    <row r="220" spans="2:21" ht="13" thickBot="1">
      <c r="B220" s="28"/>
      <c r="C220" s="237">
        <f t="shared" si="25"/>
        <v>42584</v>
      </c>
      <c r="D220" s="35" t="str">
        <f t="shared" si="21"/>
        <v>Mardi</v>
      </c>
      <c r="E220" s="124">
        <f t="shared" si="22"/>
        <v>32</v>
      </c>
      <c r="F220" s="124">
        <f t="shared" si="23"/>
        <v>8</v>
      </c>
      <c r="G220" s="27"/>
      <c r="H220" s="28" t="str">
        <f>CONCATENATE(SUMIF($E$6:$E220,$E220,$K$6:$K$370)," / ",SUMIF($E$6:$E$370,$E220,$K$6:$K584))</f>
        <v>0 / 0</v>
      </c>
      <c r="I220" s="28" t="str">
        <f>CONCATENATE(SUMIF($F$6:$F220,$F220,$K$6:$K584)," / ",SUMIF($F$6:$F$370,$F220,$K$6:$K584))</f>
        <v>0 / 0</v>
      </c>
      <c r="J220" s="28" t="str">
        <f>CONCATENATE(SUM($K$6:$K220)," / ",SUM($K$6:$K$370))</f>
        <v>180,895 / 180,895</v>
      </c>
      <c r="K220" s="245">
        <v>0</v>
      </c>
      <c r="L220" s="28"/>
      <c r="M220" s="28" t="str">
        <f>CONCATENATE(SUMIF($E$6:$E220,$E220,$P$6:$P$370)," / ",SUMIF($E$6:$E$370,$E220,$P$6:$P$370))</f>
        <v>0 / 0</v>
      </c>
      <c r="N220" s="28" t="str">
        <f ca="1">CONCATENATE(SUMIF($F$6:$F220,$F220,$P220)," / ",SUMIF($F$6:$F$370,$F220,$P$6:$P$370))</f>
        <v>0 / 0</v>
      </c>
      <c r="O220" s="28" t="str">
        <f t="shared" si="24"/>
        <v>0 / 30</v>
      </c>
      <c r="P220" s="245">
        <v>0</v>
      </c>
      <c r="Q220" s="28"/>
      <c r="R220" s="246">
        <v>0</v>
      </c>
      <c r="S220" s="28" t="str">
        <f>CONCATENATE(SUMIF($E$6:$E220,E220,$R$6:$R$370)," / ",SUMIF($E$6:$E$370,E220,$R$6:$R$370))</f>
        <v>0 / 0</v>
      </c>
      <c r="T220" s="28" t="str">
        <f>CONCATENATE(SUMIF($F$6:$F220,$F220,$R$6:$R$370)," / ",SUMIF($F$6:$F$370,$F220,$R$6:$R$370))</f>
        <v>0 / 0</v>
      </c>
      <c r="U220" s="28" t="str">
        <f>CONCATENATE(SUM($R$6:$R220)," / ",SUM($R$6:$R$370))</f>
        <v>0 / 0</v>
      </c>
    </row>
    <row r="221" spans="2:21" ht="13" thickBot="1">
      <c r="B221" s="28"/>
      <c r="C221" s="237">
        <f t="shared" si="25"/>
        <v>42585</v>
      </c>
      <c r="D221" s="35" t="str">
        <f t="shared" si="21"/>
        <v>Mercredi</v>
      </c>
      <c r="E221" s="124">
        <f t="shared" si="22"/>
        <v>32</v>
      </c>
      <c r="F221" s="124">
        <f t="shared" si="23"/>
        <v>8</v>
      </c>
      <c r="G221" s="27"/>
      <c r="H221" s="28" t="str">
        <f>CONCATENATE(SUMIF($E$6:$E221,$E221,$K$6:$K$370)," / ",SUMIF($E$6:$E$370,$E221,$K$6:$K585))</f>
        <v>0 / 0</v>
      </c>
      <c r="I221" s="28" t="str">
        <f>CONCATENATE(SUMIF($F$6:$F221,$F221,$K$6:$K585)," / ",SUMIF($F$6:$F$370,$F221,$K$6:$K585))</f>
        <v>0 / 0</v>
      </c>
      <c r="J221" s="28" t="str">
        <f>CONCATENATE(SUM($K$6:$K221)," / ",SUM($K$6:$K$370))</f>
        <v>180,895 / 180,895</v>
      </c>
      <c r="K221" s="245">
        <v>0</v>
      </c>
      <c r="L221" s="28"/>
      <c r="M221" s="28" t="str">
        <f>CONCATENATE(SUMIF($E$6:$E221,$E221,$P$6:$P$370)," / ",SUMIF($E$6:$E$370,$E221,$P$6:$P$370))</f>
        <v>0 / 0</v>
      </c>
      <c r="N221" s="28" t="str">
        <f ca="1">CONCATENATE(SUMIF($F$6:$F221,$F221,$P221)," / ",SUMIF($F$6:$F$370,$F221,$P$6:$P$370))</f>
        <v>0 / 0</v>
      </c>
      <c r="O221" s="28" t="str">
        <f t="shared" si="24"/>
        <v>0 / 30</v>
      </c>
      <c r="P221" s="245">
        <v>0</v>
      </c>
      <c r="Q221" s="28"/>
      <c r="R221" s="246">
        <v>0</v>
      </c>
      <c r="S221" s="28" t="str">
        <f>CONCATENATE(SUMIF($E$6:$E221,E221,$R$6:$R$370)," / ",SUMIF($E$6:$E$370,E221,$R$6:$R$370))</f>
        <v>0 / 0</v>
      </c>
      <c r="T221" s="28" t="str">
        <f>CONCATENATE(SUMIF($F$6:$F221,$F221,$R$6:$R$370)," / ",SUMIF($F$6:$F$370,$F221,$R$6:$R$370))</f>
        <v>0 / 0</v>
      </c>
      <c r="U221" s="28" t="str">
        <f>CONCATENATE(SUM($R$6:$R221)," / ",SUM($R$6:$R$370))</f>
        <v>0 / 0</v>
      </c>
    </row>
    <row r="222" spans="2:21" ht="13" thickBot="1">
      <c r="B222" s="28"/>
      <c r="C222" s="237">
        <f t="shared" si="25"/>
        <v>42586</v>
      </c>
      <c r="D222" s="35" t="str">
        <f t="shared" si="21"/>
        <v>Jeudi</v>
      </c>
      <c r="E222" s="124">
        <f t="shared" si="22"/>
        <v>32</v>
      </c>
      <c r="F222" s="124">
        <f t="shared" si="23"/>
        <v>8</v>
      </c>
      <c r="G222" s="27"/>
      <c r="H222" s="28" t="str">
        <f>CONCATENATE(SUMIF($E$6:$E222,$E222,$K$6:$K$370)," / ",SUMIF($E$6:$E$370,$E222,$K$6:$K586))</f>
        <v>0 / 0</v>
      </c>
      <c r="I222" s="28" t="str">
        <f>CONCATENATE(SUMIF($F$6:$F222,$F222,$K$6:$K586)," / ",SUMIF($F$6:$F$370,$F222,$K$6:$K586))</f>
        <v>0 / 0</v>
      </c>
      <c r="J222" s="28" t="str">
        <f>CONCATENATE(SUM($K$6:$K222)," / ",SUM($K$6:$K$370))</f>
        <v>180,895 / 180,895</v>
      </c>
      <c r="K222" s="245">
        <v>0</v>
      </c>
      <c r="L222" s="28"/>
      <c r="M222" s="28" t="str">
        <f>CONCATENATE(SUMIF($E$6:$E222,$E222,$P$6:$P$370)," / ",SUMIF($E$6:$E$370,$E222,$P$6:$P$370))</f>
        <v>0 / 0</v>
      </c>
      <c r="N222" s="28" t="str">
        <f ca="1">CONCATENATE(SUMIF($F$6:$F222,$F222,$P222)," / ",SUMIF($F$6:$F$370,$F222,$P$6:$P$370))</f>
        <v>0 / 0</v>
      </c>
      <c r="O222" s="28" t="str">
        <f t="shared" si="24"/>
        <v>0 / 30</v>
      </c>
      <c r="P222" s="245">
        <v>0</v>
      </c>
      <c r="Q222" s="28"/>
      <c r="R222" s="246">
        <v>0</v>
      </c>
      <c r="S222" s="28" t="str">
        <f>CONCATENATE(SUMIF($E$6:$E222,E222,$R$6:$R$370)," / ",SUMIF($E$6:$E$370,E222,$R$6:$R$370))</f>
        <v>0 / 0</v>
      </c>
      <c r="T222" s="28" t="str">
        <f>CONCATENATE(SUMIF($F$6:$F222,$F222,$R$6:$R$370)," / ",SUMIF($F$6:$F$370,$F222,$R$6:$R$370))</f>
        <v>0 / 0</v>
      </c>
      <c r="U222" s="28" t="str">
        <f>CONCATENATE(SUM($R$6:$R222)," / ",SUM($R$6:$R$370))</f>
        <v>0 / 0</v>
      </c>
    </row>
    <row r="223" spans="2:21" ht="13" thickBot="1">
      <c r="B223" s="28"/>
      <c r="C223" s="237">
        <f t="shared" si="25"/>
        <v>42587</v>
      </c>
      <c r="D223" s="35" t="str">
        <f t="shared" si="21"/>
        <v>Vendredi</v>
      </c>
      <c r="E223" s="124">
        <f t="shared" si="22"/>
        <v>32</v>
      </c>
      <c r="F223" s="124">
        <f t="shared" si="23"/>
        <v>8</v>
      </c>
      <c r="G223" s="27"/>
      <c r="H223" s="28" t="str">
        <f>CONCATENATE(SUMIF($E$6:$E223,$E223,$K$6:$K$370)," / ",SUMIF($E$6:$E$370,$E223,$K$6:$K587))</f>
        <v>0 / 0</v>
      </c>
      <c r="I223" s="28" t="str">
        <f>CONCATENATE(SUMIF($F$6:$F223,$F223,$K$6:$K587)," / ",SUMIF($F$6:$F$370,$F223,$K$6:$K587))</f>
        <v>0 / 0</v>
      </c>
      <c r="J223" s="28" t="str">
        <f>CONCATENATE(SUM($K$6:$K223)," / ",SUM($K$6:$K$370))</f>
        <v>180,895 / 180,895</v>
      </c>
      <c r="K223" s="245">
        <v>0</v>
      </c>
      <c r="L223" s="28"/>
      <c r="M223" s="28" t="str">
        <f>CONCATENATE(SUMIF($E$6:$E223,$E223,$P$6:$P$370)," / ",SUMIF($E$6:$E$370,$E223,$P$6:$P$370))</f>
        <v>0 / 0</v>
      </c>
      <c r="N223" s="28" t="str">
        <f ca="1">CONCATENATE(SUMIF($F$6:$F223,$F223,$P223)," / ",SUMIF($F$6:$F$370,$F223,$P$6:$P$370))</f>
        <v>0 / 0</v>
      </c>
      <c r="O223" s="28" t="str">
        <f t="shared" si="24"/>
        <v>0 / 30</v>
      </c>
      <c r="P223" s="245">
        <v>0</v>
      </c>
      <c r="Q223" s="28"/>
      <c r="R223" s="246">
        <v>0</v>
      </c>
      <c r="S223" s="28" t="str">
        <f>CONCATENATE(SUMIF($E$6:$E223,E223,$R$6:$R$370)," / ",SUMIF($E$6:$E$370,E223,$R$6:$R$370))</f>
        <v>0 / 0</v>
      </c>
      <c r="T223" s="28" t="str">
        <f>CONCATENATE(SUMIF($F$6:$F223,$F223,$R$6:$R$370)," / ",SUMIF($F$6:$F$370,$F223,$R$6:$R$370))</f>
        <v>0 / 0</v>
      </c>
      <c r="U223" s="28" t="str">
        <f>CONCATENATE(SUM($R$6:$R223)," / ",SUM($R$6:$R$370))</f>
        <v>0 / 0</v>
      </c>
    </row>
    <row r="224" spans="2:21" ht="13" thickBot="1">
      <c r="B224" s="28"/>
      <c r="C224" s="237">
        <f t="shared" si="25"/>
        <v>42588</v>
      </c>
      <c r="D224" s="35" t="str">
        <f t="shared" ref="D224:D287" si="26">IF(EXACT(WEEKDAY(C224),1),"Dimanche",IF(EXACT(WEEKDAY(C224),2),"Lundi",IF(EXACT(WEEKDAY(C224),3),"Mardi",IF(EXACT(WEEKDAY(C224),4),"Mercredi",IF(EXACT(WEEKDAY(C224),5),"Jeudi",IF(EXACT(WEEKDAY(C224),6),"Vendredi",IF(EXACT(WEEKDAY(C224),7),"samedi","Erreur de date")))))))</f>
        <v>samedi</v>
      </c>
      <c r="E224" s="124">
        <f t="shared" si="22"/>
        <v>32</v>
      </c>
      <c r="F224" s="124">
        <f t="shared" si="23"/>
        <v>8</v>
      </c>
      <c r="G224" s="27"/>
      <c r="H224" s="28" t="str">
        <f>CONCATENATE(SUMIF($E$6:$E224,$E224,$K$6:$K$370)," / ",SUMIF($E$6:$E$370,$E224,$K$6:$K588))</f>
        <v>0 / 0</v>
      </c>
      <c r="I224" s="28" t="str">
        <f>CONCATENATE(SUMIF($F$6:$F224,$F224,$K$6:$K588)," / ",SUMIF($F$6:$F$370,$F224,$K$6:$K588))</f>
        <v>0 / 0</v>
      </c>
      <c r="J224" s="28" t="str">
        <f>CONCATENATE(SUM($K$6:$K224)," / ",SUM($K$6:$K$370))</f>
        <v>180,895 / 180,895</v>
      </c>
      <c r="K224" s="245">
        <v>0</v>
      </c>
      <c r="L224" s="28"/>
      <c r="M224" s="28" t="str">
        <f>CONCATENATE(SUMIF($E$6:$E224,$E224,$P$6:$P$370)," / ",SUMIF($E$6:$E$370,$E224,$P$6:$P$370))</f>
        <v>0 / 0</v>
      </c>
      <c r="N224" s="28" t="str">
        <f ca="1">CONCATENATE(SUMIF($F$6:$F224,$F224,$P224)," / ",SUMIF($F$6:$F$370,$F224,$P$6:$P$370))</f>
        <v>0 / 0</v>
      </c>
      <c r="O224" s="28" t="str">
        <f t="shared" si="24"/>
        <v>0 / 30</v>
      </c>
      <c r="P224" s="245">
        <v>0</v>
      </c>
      <c r="Q224" s="28"/>
      <c r="R224" s="246">
        <v>0</v>
      </c>
      <c r="S224" s="28" t="str">
        <f>CONCATENATE(SUMIF($E$6:$E224,E224,$R$6:$R$370)," / ",SUMIF($E$6:$E$370,E224,$R$6:$R$370))</f>
        <v>0 / 0</v>
      </c>
      <c r="T224" s="28" t="str">
        <f>CONCATENATE(SUMIF($F$6:$F224,$F224,$R$6:$R$370)," / ",SUMIF($F$6:$F$370,$F224,$R$6:$R$370))</f>
        <v>0 / 0</v>
      </c>
      <c r="U224" s="28" t="str">
        <f>CONCATENATE(SUM($R$6:$R224)," / ",SUM($R$6:$R$370))</f>
        <v>0 / 0</v>
      </c>
    </row>
    <row r="225" spans="2:21" ht="13" thickBot="1">
      <c r="B225" s="28"/>
      <c r="C225" s="237">
        <f t="shared" si="25"/>
        <v>42589</v>
      </c>
      <c r="D225" s="35" t="str">
        <f t="shared" si="26"/>
        <v>Dimanche</v>
      </c>
      <c r="E225" s="124">
        <f t="shared" si="22"/>
        <v>33</v>
      </c>
      <c r="F225" s="124">
        <f t="shared" si="23"/>
        <v>8</v>
      </c>
      <c r="G225" s="27"/>
      <c r="H225" s="28" t="str">
        <f>CONCATENATE(SUMIF($E$6:$E225,$E225,$K$6:$K$370)," / ",SUMIF($E$6:$E$370,$E225,$K$6:$K589))</f>
        <v>0 / 0</v>
      </c>
      <c r="I225" s="28" t="str">
        <f>CONCATENATE(SUMIF($F$6:$F225,$F225,$K$6:$K589)," / ",SUMIF($F$6:$F$370,$F225,$K$6:$K589))</f>
        <v>0 / 0</v>
      </c>
      <c r="J225" s="28" t="str">
        <f>CONCATENATE(SUM($K$6:$K225)," / ",SUM($K$6:$K$370))</f>
        <v>180,895 / 180,895</v>
      </c>
      <c r="K225" s="245">
        <v>0</v>
      </c>
      <c r="L225" s="28"/>
      <c r="M225" s="28" t="str">
        <f>CONCATENATE(SUMIF($E$6:$E225,$E225,$P$6:$P$370)," / ",SUMIF($E$6:$E$370,$E225,$P$6:$P$370))</f>
        <v>0 / 0</v>
      </c>
      <c r="N225" s="28" t="str">
        <f ca="1">CONCATENATE(SUMIF($F$6:$F225,$F225,$P225)," / ",SUMIF($F$6:$F$370,$F225,$P$6:$P$370))</f>
        <v>0 / 0</v>
      </c>
      <c r="O225" s="28" t="str">
        <f t="shared" si="24"/>
        <v>0 / 30</v>
      </c>
      <c r="P225" s="245">
        <v>0</v>
      </c>
      <c r="Q225" s="28"/>
      <c r="R225" s="246">
        <v>0</v>
      </c>
      <c r="S225" s="28" t="str">
        <f>CONCATENATE(SUMIF($E$6:$E225,E225,$R$6:$R$370)," / ",SUMIF($E$6:$E$370,E225,$R$6:$R$370))</f>
        <v>0 / 0</v>
      </c>
      <c r="T225" s="28" t="str">
        <f>CONCATENATE(SUMIF($F$6:$F225,$F225,$R$6:$R$370)," / ",SUMIF($F$6:$F$370,$F225,$R$6:$R$370))</f>
        <v>0 / 0</v>
      </c>
      <c r="U225" s="28" t="str">
        <f>CONCATENATE(SUM($R$6:$R225)," / ",SUM($R$6:$R$370))</f>
        <v>0 / 0</v>
      </c>
    </row>
    <row r="226" spans="2:21" ht="13" thickBot="1">
      <c r="B226" s="28"/>
      <c r="C226" s="237">
        <f t="shared" si="25"/>
        <v>42590</v>
      </c>
      <c r="D226" s="35" t="str">
        <f t="shared" si="26"/>
        <v>Lundi</v>
      </c>
      <c r="E226" s="124">
        <f t="shared" si="22"/>
        <v>33</v>
      </c>
      <c r="F226" s="124">
        <f t="shared" si="23"/>
        <v>8</v>
      </c>
      <c r="G226" s="27"/>
      <c r="H226" s="28" t="str">
        <f>CONCATENATE(SUMIF($E$6:$E226,$E226,$K$6:$K$370)," / ",SUMIF($E$6:$E$370,$E226,$K$6:$K590))</f>
        <v>0 / 0</v>
      </c>
      <c r="I226" s="28" t="str">
        <f>CONCATENATE(SUMIF($F$6:$F226,$F226,$K$6:$K590)," / ",SUMIF($F$6:$F$370,$F226,$K$6:$K590))</f>
        <v>0 / 0</v>
      </c>
      <c r="J226" s="28" t="str">
        <f>CONCATENATE(SUM($K$6:$K226)," / ",SUM($K$6:$K$370))</f>
        <v>180,895 / 180,895</v>
      </c>
      <c r="K226" s="245">
        <v>0</v>
      </c>
      <c r="L226" s="28"/>
      <c r="M226" s="28" t="str">
        <f>CONCATENATE(SUMIF($E$6:$E226,$E226,$P$6:$P$370)," / ",SUMIF($E$6:$E$370,$E226,$P$6:$P$370))</f>
        <v>0 / 0</v>
      </c>
      <c r="N226" s="28" t="str">
        <f ca="1">CONCATENATE(SUMIF($F$6:$F226,$F226,$P226)," / ",SUMIF($F$6:$F$370,$F226,$P$6:$P$370))</f>
        <v>0 / 0</v>
      </c>
      <c r="O226" s="28" t="str">
        <f t="shared" si="24"/>
        <v>0 / 30</v>
      </c>
      <c r="P226" s="245">
        <v>0</v>
      </c>
      <c r="Q226" s="28"/>
      <c r="R226" s="246">
        <v>0</v>
      </c>
      <c r="S226" s="28" t="str">
        <f>CONCATENATE(SUMIF($E$6:$E226,E226,$R$6:$R$370)," / ",SUMIF($E$6:$E$370,E226,$R$6:$R$370))</f>
        <v>0 / 0</v>
      </c>
      <c r="T226" s="28" t="str">
        <f>CONCATENATE(SUMIF($F$6:$F226,$F226,$R$6:$R$370)," / ",SUMIF($F$6:$F$370,$F226,$R$6:$R$370))</f>
        <v>0 / 0</v>
      </c>
      <c r="U226" s="28" t="str">
        <f>CONCATENATE(SUM($R$6:$R226)," / ",SUM($R$6:$R$370))</f>
        <v>0 / 0</v>
      </c>
    </row>
    <row r="227" spans="2:21" ht="13" thickBot="1">
      <c r="B227" s="28"/>
      <c r="C227" s="237">
        <f t="shared" si="25"/>
        <v>42591</v>
      </c>
      <c r="D227" s="35" t="str">
        <f t="shared" si="26"/>
        <v>Mardi</v>
      </c>
      <c r="E227" s="124">
        <f t="shared" si="22"/>
        <v>33</v>
      </c>
      <c r="F227" s="124">
        <f t="shared" si="23"/>
        <v>8</v>
      </c>
      <c r="G227" s="27"/>
      <c r="H227" s="28" t="str">
        <f>CONCATENATE(SUMIF($E$6:$E227,$E227,$K$6:$K$370)," / ",SUMIF($E$6:$E$370,$E227,$K$6:$K591))</f>
        <v>0 / 0</v>
      </c>
      <c r="I227" s="28" t="str">
        <f>CONCATENATE(SUMIF($F$6:$F227,$F227,$K$6:$K591)," / ",SUMIF($F$6:$F$370,$F227,$K$6:$K591))</f>
        <v>0 / 0</v>
      </c>
      <c r="J227" s="28" t="str">
        <f>CONCATENATE(SUM($K$6:$K227)," / ",SUM($K$6:$K$370))</f>
        <v>180,895 / 180,895</v>
      </c>
      <c r="K227" s="245">
        <v>0</v>
      </c>
      <c r="L227" s="28"/>
      <c r="M227" s="28" t="str">
        <f>CONCATENATE(SUMIF($E$6:$E227,$E227,$P$6:$P$370)," / ",SUMIF($E$6:$E$370,$E227,$P$6:$P$370))</f>
        <v>0 / 0</v>
      </c>
      <c r="N227" s="28" t="str">
        <f ca="1">CONCATENATE(SUMIF($F$6:$F227,$F227,$P227)," / ",SUMIF($F$6:$F$370,$F227,$P$6:$P$370))</f>
        <v>0 / 0</v>
      </c>
      <c r="O227" s="28" t="str">
        <f t="shared" si="24"/>
        <v>0 / 30</v>
      </c>
      <c r="P227" s="245">
        <v>0</v>
      </c>
      <c r="Q227" s="28"/>
      <c r="R227" s="246">
        <v>0</v>
      </c>
      <c r="S227" s="28" t="str">
        <f>CONCATENATE(SUMIF($E$6:$E227,E227,$R$6:$R$370)," / ",SUMIF($E$6:$E$370,E227,$R$6:$R$370))</f>
        <v>0 / 0</v>
      </c>
      <c r="T227" s="28" t="str">
        <f>CONCATENATE(SUMIF($F$6:$F227,$F227,$R$6:$R$370)," / ",SUMIF($F$6:$F$370,$F227,$R$6:$R$370))</f>
        <v>0 / 0</v>
      </c>
      <c r="U227" s="28" t="str">
        <f>CONCATENATE(SUM($R$6:$R227)," / ",SUM($R$6:$R$370))</f>
        <v>0 / 0</v>
      </c>
    </row>
    <row r="228" spans="2:21" ht="13" thickBot="1">
      <c r="B228" s="28"/>
      <c r="C228" s="237">
        <f t="shared" si="25"/>
        <v>42592</v>
      </c>
      <c r="D228" s="35" t="str">
        <f t="shared" si="26"/>
        <v>Mercredi</v>
      </c>
      <c r="E228" s="124">
        <f t="shared" si="22"/>
        <v>33</v>
      </c>
      <c r="F228" s="124">
        <f t="shared" si="23"/>
        <v>8</v>
      </c>
      <c r="G228" s="27"/>
      <c r="H228" s="28" t="str">
        <f>CONCATENATE(SUMIF($E$6:$E228,$E228,$K$6:$K$370)," / ",SUMIF($E$6:$E$370,$E228,$K$6:$K592))</f>
        <v>0 / 0</v>
      </c>
      <c r="I228" s="28" t="str">
        <f>CONCATENATE(SUMIF($F$6:$F228,$F228,$K$6:$K592)," / ",SUMIF($F$6:$F$370,$F228,$K$6:$K592))</f>
        <v>0 / 0</v>
      </c>
      <c r="J228" s="28" t="str">
        <f>CONCATENATE(SUM($K$6:$K228)," / ",SUM($K$6:$K$370))</f>
        <v>180,895 / 180,895</v>
      </c>
      <c r="K228" s="245">
        <v>0</v>
      </c>
      <c r="L228" s="28"/>
      <c r="M228" s="28" t="str">
        <f>CONCATENATE(SUMIF($E$6:$E228,$E228,$P$6:$P$370)," / ",SUMIF($E$6:$E$370,$E228,$P$6:$P$370))</f>
        <v>0 / 0</v>
      </c>
      <c r="N228" s="28" t="str">
        <f ca="1">CONCATENATE(SUMIF($F$6:$F228,$F228,$P228)," / ",SUMIF($F$6:$F$370,$F228,$P$6:$P$370))</f>
        <v>0 / 0</v>
      </c>
      <c r="O228" s="28" t="str">
        <f t="shared" si="24"/>
        <v>0 / 30</v>
      </c>
      <c r="P228" s="245">
        <v>0</v>
      </c>
      <c r="Q228" s="28"/>
      <c r="R228" s="246">
        <v>0</v>
      </c>
      <c r="S228" s="28" t="str">
        <f>CONCATENATE(SUMIF($E$6:$E228,E228,$R$6:$R$370)," / ",SUMIF($E$6:$E$370,E228,$R$6:$R$370))</f>
        <v>0 / 0</v>
      </c>
      <c r="T228" s="28" t="str">
        <f>CONCATENATE(SUMIF($F$6:$F228,$F228,$R$6:$R$370)," / ",SUMIF($F$6:$F$370,$F228,$R$6:$R$370))</f>
        <v>0 / 0</v>
      </c>
      <c r="U228" s="28" t="str">
        <f>CONCATENATE(SUM($R$6:$R228)," / ",SUM($R$6:$R$370))</f>
        <v>0 / 0</v>
      </c>
    </row>
    <row r="229" spans="2:21" ht="13" thickBot="1">
      <c r="B229" s="28"/>
      <c r="C229" s="237">
        <f t="shared" si="25"/>
        <v>42593</v>
      </c>
      <c r="D229" s="35" t="str">
        <f t="shared" si="26"/>
        <v>Jeudi</v>
      </c>
      <c r="E229" s="124">
        <f t="shared" si="22"/>
        <v>33</v>
      </c>
      <c r="F229" s="124">
        <f t="shared" si="23"/>
        <v>8</v>
      </c>
      <c r="G229" s="27"/>
      <c r="H229" s="28" t="str">
        <f>CONCATENATE(SUMIF($E$6:$E229,$E229,$K$6:$K$370)," / ",SUMIF($E$6:$E$370,$E229,$K$6:$K593))</f>
        <v>0 / 0</v>
      </c>
      <c r="I229" s="28" t="str">
        <f>CONCATENATE(SUMIF($F$6:$F229,$F229,$K$6:$K593)," / ",SUMIF($F$6:$F$370,$F229,$K$6:$K593))</f>
        <v>0 / 0</v>
      </c>
      <c r="J229" s="28" t="str">
        <f>CONCATENATE(SUM($K$6:$K229)," / ",SUM($K$6:$K$370))</f>
        <v>180,895 / 180,895</v>
      </c>
      <c r="K229" s="245">
        <v>0</v>
      </c>
      <c r="L229" s="28"/>
      <c r="M229" s="28" t="str">
        <f>CONCATENATE(SUMIF($E$6:$E229,$E229,$P$6:$P$370)," / ",SUMIF($E$6:$E$370,$E229,$P$6:$P$370))</f>
        <v>0 / 0</v>
      </c>
      <c r="N229" s="28" t="str">
        <f ca="1">CONCATENATE(SUMIF($F$6:$F229,$F229,$P229)," / ",SUMIF($F$6:$F$370,$F229,$P$6:$P$370))</f>
        <v>0 / 0</v>
      </c>
      <c r="O229" s="28" t="str">
        <f t="shared" si="24"/>
        <v>0 / 30</v>
      </c>
      <c r="P229" s="245">
        <v>0</v>
      </c>
      <c r="Q229" s="28"/>
      <c r="R229" s="246">
        <v>0</v>
      </c>
      <c r="S229" s="28" t="str">
        <f>CONCATENATE(SUMIF($E$6:$E229,E229,$R$6:$R$370)," / ",SUMIF($E$6:$E$370,E229,$R$6:$R$370))</f>
        <v>0 / 0</v>
      </c>
      <c r="T229" s="28" t="str">
        <f>CONCATENATE(SUMIF($F$6:$F229,$F229,$R$6:$R$370)," / ",SUMIF($F$6:$F$370,$F229,$R$6:$R$370))</f>
        <v>0 / 0</v>
      </c>
      <c r="U229" s="28" t="str">
        <f>CONCATENATE(SUM($R$6:$R229)," / ",SUM($R$6:$R$370))</f>
        <v>0 / 0</v>
      </c>
    </row>
    <row r="230" spans="2:21" ht="13" thickBot="1">
      <c r="B230" s="28"/>
      <c r="C230" s="237">
        <f t="shared" si="25"/>
        <v>42594</v>
      </c>
      <c r="D230" s="35" t="str">
        <f t="shared" si="26"/>
        <v>Vendredi</v>
      </c>
      <c r="E230" s="124">
        <f t="shared" si="22"/>
        <v>33</v>
      </c>
      <c r="F230" s="124">
        <f t="shared" si="23"/>
        <v>8</v>
      </c>
      <c r="G230" s="27"/>
      <c r="H230" s="28" t="str">
        <f>CONCATENATE(SUMIF($E$6:$E230,$E230,$K$6:$K$370)," / ",SUMIF($E$6:$E$370,$E230,$K$6:$K594))</f>
        <v>0 / 0</v>
      </c>
      <c r="I230" s="28" t="str">
        <f>CONCATENATE(SUMIF($F$6:$F230,$F230,$K$6:$K594)," / ",SUMIF($F$6:$F$370,$F230,$K$6:$K594))</f>
        <v>0 / 0</v>
      </c>
      <c r="J230" s="28" t="str">
        <f>CONCATENATE(SUM($K$6:$K230)," / ",SUM($K$6:$K$370))</f>
        <v>180,895 / 180,895</v>
      </c>
      <c r="K230" s="245">
        <v>0</v>
      </c>
      <c r="L230" s="28"/>
      <c r="M230" s="28" t="str">
        <f>CONCATENATE(SUMIF($E$6:$E230,$E230,$P$6:$P$370)," / ",SUMIF($E$6:$E$370,$E230,$P$6:$P$370))</f>
        <v>0 / 0</v>
      </c>
      <c r="N230" s="28" t="str">
        <f ca="1">CONCATENATE(SUMIF($F$6:$F230,$F230,$P230)," / ",SUMIF($F$6:$F$370,$F230,$P$6:$P$370))</f>
        <v>0 / 0</v>
      </c>
      <c r="O230" s="28" t="str">
        <f t="shared" si="24"/>
        <v>0 / 30</v>
      </c>
      <c r="P230" s="245">
        <v>0</v>
      </c>
      <c r="Q230" s="28"/>
      <c r="R230" s="246">
        <v>0</v>
      </c>
      <c r="S230" s="28" t="str">
        <f>CONCATENATE(SUMIF($E$6:$E230,E230,$R$6:$R$370)," / ",SUMIF($E$6:$E$370,E230,$R$6:$R$370))</f>
        <v>0 / 0</v>
      </c>
      <c r="T230" s="28" t="str">
        <f>CONCATENATE(SUMIF($F$6:$F230,$F230,$R$6:$R$370)," / ",SUMIF($F$6:$F$370,$F230,$R$6:$R$370))</f>
        <v>0 / 0</v>
      </c>
      <c r="U230" s="28" t="str">
        <f>CONCATENATE(SUM($R$6:$R230)," / ",SUM($R$6:$R$370))</f>
        <v>0 / 0</v>
      </c>
    </row>
    <row r="231" spans="2:21" ht="13" thickBot="1">
      <c r="B231" s="28"/>
      <c r="C231" s="237">
        <f t="shared" si="25"/>
        <v>42595</v>
      </c>
      <c r="D231" s="35" t="str">
        <f t="shared" si="26"/>
        <v>samedi</v>
      </c>
      <c r="E231" s="124">
        <f t="shared" si="22"/>
        <v>33</v>
      </c>
      <c r="F231" s="124">
        <f t="shared" si="23"/>
        <v>8</v>
      </c>
      <c r="G231" s="27"/>
      <c r="H231" s="28" t="str">
        <f>CONCATENATE(SUMIF($E$6:$E231,$E231,$K$6:$K$370)," / ",SUMIF($E$6:$E$370,$E231,$K$6:$K595))</f>
        <v>0 / 0</v>
      </c>
      <c r="I231" s="28" t="str">
        <f>CONCATENATE(SUMIF($F$6:$F231,$F231,$K$6:$K595)," / ",SUMIF($F$6:$F$370,$F231,$K$6:$K595))</f>
        <v>0 / 0</v>
      </c>
      <c r="J231" s="28" t="str">
        <f>CONCATENATE(SUM($K$6:$K231)," / ",SUM($K$6:$K$370))</f>
        <v>180,895 / 180,895</v>
      </c>
      <c r="K231" s="245">
        <v>0</v>
      </c>
      <c r="L231" s="28"/>
      <c r="M231" s="28" t="str">
        <f>CONCATENATE(SUMIF($E$6:$E231,$E231,$P$6:$P$370)," / ",SUMIF($E$6:$E$370,$E231,$P$6:$P$370))</f>
        <v>0 / 0</v>
      </c>
      <c r="N231" s="28" t="str">
        <f ca="1">CONCATENATE(SUMIF($F$6:$F231,$F231,$P231)," / ",SUMIF($F$6:$F$370,$F231,$P$6:$P$370))</f>
        <v>0 / 0</v>
      </c>
      <c r="O231" s="28" t="str">
        <f t="shared" si="24"/>
        <v>0 / 30</v>
      </c>
      <c r="P231" s="245">
        <v>0</v>
      </c>
      <c r="Q231" s="28"/>
      <c r="R231" s="246">
        <v>0</v>
      </c>
      <c r="S231" s="28" t="str">
        <f>CONCATENATE(SUMIF($E$6:$E231,E231,$R$6:$R$370)," / ",SUMIF($E$6:$E$370,E231,$R$6:$R$370))</f>
        <v>0 / 0</v>
      </c>
      <c r="T231" s="28" t="str">
        <f>CONCATENATE(SUMIF($F$6:$F231,$F231,$R$6:$R$370)," / ",SUMIF($F$6:$F$370,$F231,$R$6:$R$370))</f>
        <v>0 / 0</v>
      </c>
      <c r="U231" s="28" t="str">
        <f>CONCATENATE(SUM($R$6:$R231)," / ",SUM($R$6:$R$370))</f>
        <v>0 / 0</v>
      </c>
    </row>
    <row r="232" spans="2:21" ht="13" thickBot="1">
      <c r="B232" s="28"/>
      <c r="C232" s="237">
        <f t="shared" si="25"/>
        <v>42596</v>
      </c>
      <c r="D232" s="35" t="str">
        <f t="shared" si="26"/>
        <v>Dimanche</v>
      </c>
      <c r="E232" s="124">
        <f t="shared" si="22"/>
        <v>34</v>
      </c>
      <c r="F232" s="124">
        <f t="shared" si="23"/>
        <v>8</v>
      </c>
      <c r="G232" s="27"/>
      <c r="H232" s="28" t="str">
        <f>CONCATENATE(SUMIF($E$6:$E232,$E232,$K$6:$K$370)," / ",SUMIF($E$6:$E$370,$E232,$K$6:$K596))</f>
        <v>0 / 0</v>
      </c>
      <c r="I232" s="28" t="str">
        <f>CONCATENATE(SUMIF($F$6:$F232,$F232,$K$6:$K596)," / ",SUMIF($F$6:$F$370,$F232,$K$6:$K596))</f>
        <v>0 / 0</v>
      </c>
      <c r="J232" s="28" t="str">
        <f>CONCATENATE(SUM($K$6:$K232)," / ",SUM($K$6:$K$370))</f>
        <v>180,895 / 180,895</v>
      </c>
      <c r="K232" s="245">
        <v>0</v>
      </c>
      <c r="L232" s="28"/>
      <c r="M232" s="28" t="str">
        <f>CONCATENATE(SUMIF($E$6:$E232,$E232,$P$6:$P$370)," / ",SUMIF($E$6:$E$370,$E232,$P$6:$P$370))</f>
        <v>0 / 0</v>
      </c>
      <c r="N232" s="28" t="str">
        <f ca="1">CONCATENATE(SUMIF($F$6:$F232,$F232,$P232)," / ",SUMIF($F$6:$F$370,$F232,$P$6:$P$370))</f>
        <v>0 / 0</v>
      </c>
      <c r="O232" s="28" t="str">
        <f t="shared" si="24"/>
        <v>0 / 30</v>
      </c>
      <c r="P232" s="245">
        <v>0</v>
      </c>
      <c r="Q232" s="28"/>
      <c r="R232" s="246">
        <v>0</v>
      </c>
      <c r="S232" s="28" t="str">
        <f>CONCATENATE(SUMIF($E$6:$E232,E232,$R$6:$R$370)," / ",SUMIF($E$6:$E$370,E232,$R$6:$R$370))</f>
        <v>0 / 0</v>
      </c>
      <c r="T232" s="28" t="str">
        <f>CONCATENATE(SUMIF($F$6:$F232,$F232,$R$6:$R$370)," / ",SUMIF($F$6:$F$370,$F232,$R$6:$R$370))</f>
        <v>0 / 0</v>
      </c>
      <c r="U232" s="28" t="str">
        <f>CONCATENATE(SUM($R$6:$R232)," / ",SUM($R$6:$R$370))</f>
        <v>0 / 0</v>
      </c>
    </row>
    <row r="233" spans="2:21" ht="13" thickBot="1">
      <c r="B233" s="28"/>
      <c r="C233" s="237">
        <f t="shared" si="25"/>
        <v>42597</v>
      </c>
      <c r="D233" s="35" t="str">
        <f t="shared" si="26"/>
        <v>Lundi</v>
      </c>
      <c r="E233" s="124">
        <f t="shared" si="22"/>
        <v>34</v>
      </c>
      <c r="F233" s="124">
        <f t="shared" si="23"/>
        <v>8</v>
      </c>
      <c r="G233" s="27"/>
      <c r="H233" s="28" t="str">
        <f>CONCATENATE(SUMIF($E$6:$E233,$E233,$K$6:$K$370)," / ",SUMIF($E$6:$E$370,$E233,$K$6:$K597))</f>
        <v>0 / 0</v>
      </c>
      <c r="I233" s="28" t="str">
        <f>CONCATENATE(SUMIF($F$6:$F233,$F233,$K$6:$K597)," / ",SUMIF($F$6:$F$370,$F233,$K$6:$K597))</f>
        <v>0 / 0</v>
      </c>
      <c r="J233" s="28" t="str">
        <f>CONCATENATE(SUM($K$6:$K233)," / ",SUM($K$6:$K$370))</f>
        <v>180,895 / 180,895</v>
      </c>
      <c r="K233" s="245">
        <v>0</v>
      </c>
      <c r="L233" s="28"/>
      <c r="M233" s="28" t="str">
        <f>CONCATENATE(SUMIF($E$6:$E233,$E233,$P$6:$P$370)," / ",SUMIF($E$6:$E$370,$E233,$P$6:$P$370))</f>
        <v>0 / 0</v>
      </c>
      <c r="N233" s="28" t="str">
        <f ca="1">CONCATENATE(SUMIF($F$6:$F233,$F233,$P233)," / ",SUMIF($F$6:$F$370,$F233,$P$6:$P$370))</f>
        <v>0 / 0</v>
      </c>
      <c r="O233" s="28" t="str">
        <f t="shared" si="24"/>
        <v>0 / 30</v>
      </c>
      <c r="P233" s="245">
        <v>0</v>
      </c>
      <c r="Q233" s="28"/>
      <c r="R233" s="246">
        <v>0</v>
      </c>
      <c r="S233" s="28" t="str">
        <f>CONCATENATE(SUMIF($E$6:$E233,E233,$R$6:$R$370)," / ",SUMIF($E$6:$E$370,E233,$R$6:$R$370))</f>
        <v>0 / 0</v>
      </c>
      <c r="T233" s="28" t="str">
        <f>CONCATENATE(SUMIF($F$6:$F233,$F233,$R$6:$R$370)," / ",SUMIF($F$6:$F$370,$F233,$R$6:$R$370))</f>
        <v>0 / 0</v>
      </c>
      <c r="U233" s="28" t="str">
        <f>CONCATENATE(SUM($R$6:$R233)," / ",SUM($R$6:$R$370))</f>
        <v>0 / 0</v>
      </c>
    </row>
    <row r="234" spans="2:21" ht="13" thickBot="1">
      <c r="B234" s="28"/>
      <c r="C234" s="237">
        <f t="shared" si="25"/>
        <v>42598</v>
      </c>
      <c r="D234" s="35" t="str">
        <f t="shared" si="26"/>
        <v>Mardi</v>
      </c>
      <c r="E234" s="124">
        <f t="shared" si="22"/>
        <v>34</v>
      </c>
      <c r="F234" s="124">
        <f t="shared" si="23"/>
        <v>8</v>
      </c>
      <c r="G234" s="27"/>
      <c r="H234" s="28" t="str">
        <f>CONCATENATE(SUMIF($E$6:$E234,$E234,$K$6:$K$370)," / ",SUMIF($E$6:$E$370,$E234,$K$6:$K598))</f>
        <v>0 / 0</v>
      </c>
      <c r="I234" s="28" t="str">
        <f>CONCATENATE(SUMIF($F$6:$F234,$F234,$K$6:$K598)," / ",SUMIF($F$6:$F$370,$F234,$K$6:$K598))</f>
        <v>0 / 0</v>
      </c>
      <c r="J234" s="28" t="str">
        <f>CONCATENATE(SUM($K$6:$K234)," / ",SUM($K$6:$K$370))</f>
        <v>180,895 / 180,895</v>
      </c>
      <c r="K234" s="245">
        <v>0</v>
      </c>
      <c r="L234" s="28"/>
      <c r="M234" s="28" t="str">
        <f>CONCATENATE(SUMIF($E$6:$E234,$E234,$P$6:$P$370)," / ",SUMIF($E$6:$E$370,$E234,$P$6:$P$370))</f>
        <v>0 / 0</v>
      </c>
      <c r="N234" s="28" t="str">
        <f ca="1">CONCATENATE(SUMIF($F$6:$F234,$F234,$P234)," / ",SUMIF($F$6:$F$370,$F234,$P$6:$P$370))</f>
        <v>0 / 0</v>
      </c>
      <c r="O234" s="28" t="str">
        <f t="shared" si="24"/>
        <v>0 / 30</v>
      </c>
      <c r="P234" s="245">
        <v>0</v>
      </c>
      <c r="Q234" s="28"/>
      <c r="R234" s="246">
        <v>0</v>
      </c>
      <c r="S234" s="28" t="str">
        <f>CONCATENATE(SUMIF($E$6:$E234,E234,$R$6:$R$370)," / ",SUMIF($E$6:$E$370,E234,$R$6:$R$370))</f>
        <v>0 / 0</v>
      </c>
      <c r="T234" s="28" t="str">
        <f>CONCATENATE(SUMIF($F$6:$F234,$F234,$R$6:$R$370)," / ",SUMIF($F$6:$F$370,$F234,$R$6:$R$370))</f>
        <v>0 / 0</v>
      </c>
      <c r="U234" s="28" t="str">
        <f>CONCATENATE(SUM($R$6:$R234)," / ",SUM($R$6:$R$370))</f>
        <v>0 / 0</v>
      </c>
    </row>
    <row r="235" spans="2:21" ht="13" thickBot="1">
      <c r="B235" s="28"/>
      <c r="C235" s="237">
        <f t="shared" si="25"/>
        <v>42599</v>
      </c>
      <c r="D235" s="35" t="str">
        <f t="shared" si="26"/>
        <v>Mercredi</v>
      </c>
      <c r="E235" s="124">
        <f t="shared" si="22"/>
        <v>34</v>
      </c>
      <c r="F235" s="124">
        <f t="shared" si="23"/>
        <v>8</v>
      </c>
      <c r="G235" s="27"/>
      <c r="H235" s="28" t="str">
        <f>CONCATENATE(SUMIF($E$6:$E235,$E235,$K$6:$K$370)," / ",SUMIF($E$6:$E$370,$E235,$K$6:$K599))</f>
        <v>0 / 0</v>
      </c>
      <c r="I235" s="28" t="str">
        <f>CONCATENATE(SUMIF($F$6:$F235,$F235,$K$6:$K599)," / ",SUMIF($F$6:$F$370,$F235,$K$6:$K599))</f>
        <v>0 / 0</v>
      </c>
      <c r="J235" s="28" t="str">
        <f>CONCATENATE(SUM($K$6:$K235)," / ",SUM($K$6:$K$370))</f>
        <v>180,895 / 180,895</v>
      </c>
      <c r="K235" s="245">
        <v>0</v>
      </c>
      <c r="L235" s="28"/>
      <c r="M235" s="28" t="str">
        <f>CONCATENATE(SUMIF($E$6:$E235,$E235,$P$6:$P$370)," / ",SUMIF($E$6:$E$370,$E235,$P$6:$P$370))</f>
        <v>0 / 0</v>
      </c>
      <c r="N235" s="28" t="str">
        <f ca="1">CONCATENATE(SUMIF($F$6:$F235,$F235,$P235)," / ",SUMIF($F$6:$F$370,$F235,$P$6:$P$370))</f>
        <v>0 / 0</v>
      </c>
      <c r="O235" s="28" t="str">
        <f t="shared" si="24"/>
        <v>0 / 30</v>
      </c>
      <c r="P235" s="245">
        <v>0</v>
      </c>
      <c r="Q235" s="28"/>
      <c r="R235" s="246">
        <v>0</v>
      </c>
      <c r="S235" s="28" t="str">
        <f>CONCATENATE(SUMIF($E$6:$E235,E235,$R$6:$R$370)," / ",SUMIF($E$6:$E$370,E235,$R$6:$R$370))</f>
        <v>0 / 0</v>
      </c>
      <c r="T235" s="28" t="str">
        <f>CONCATENATE(SUMIF($F$6:$F235,$F235,$R$6:$R$370)," / ",SUMIF($F$6:$F$370,$F235,$R$6:$R$370))</f>
        <v>0 / 0</v>
      </c>
      <c r="U235" s="28" t="str">
        <f>CONCATENATE(SUM($R$6:$R235)," / ",SUM($R$6:$R$370))</f>
        <v>0 / 0</v>
      </c>
    </row>
    <row r="236" spans="2:21" ht="13" thickBot="1">
      <c r="B236" s="28"/>
      <c r="C236" s="237">
        <f t="shared" si="25"/>
        <v>42600</v>
      </c>
      <c r="D236" s="35" t="str">
        <f t="shared" si="26"/>
        <v>Jeudi</v>
      </c>
      <c r="E236" s="124">
        <f t="shared" si="22"/>
        <v>34</v>
      </c>
      <c r="F236" s="124">
        <f t="shared" si="23"/>
        <v>8</v>
      </c>
      <c r="G236" s="27"/>
      <c r="H236" s="28" t="str">
        <f>CONCATENATE(SUMIF($E$6:$E236,$E236,$K$6:$K$370)," / ",SUMIF($E$6:$E$370,$E236,$K$6:$K600))</f>
        <v>0 / 0</v>
      </c>
      <c r="I236" s="28" t="str">
        <f>CONCATENATE(SUMIF($F$6:$F236,$F236,$K$6:$K600)," / ",SUMIF($F$6:$F$370,$F236,$K$6:$K600))</f>
        <v>0 / 0</v>
      </c>
      <c r="J236" s="28" t="str">
        <f>CONCATENATE(SUM($K$6:$K236)," / ",SUM($K$6:$K$370))</f>
        <v>180,895 / 180,895</v>
      </c>
      <c r="K236" s="245">
        <v>0</v>
      </c>
      <c r="L236" s="28"/>
      <c r="M236" s="28" t="str">
        <f>CONCATENATE(SUMIF($E$6:$E236,$E236,$P$6:$P$370)," / ",SUMIF($E$6:$E$370,$E236,$P$6:$P$370))</f>
        <v>0 / 0</v>
      </c>
      <c r="N236" s="28" t="str">
        <f ca="1">CONCATENATE(SUMIF($F$6:$F236,$F236,$P236)," / ",SUMIF($F$6:$F$370,$F236,$P$6:$P$370))</f>
        <v>0 / 0</v>
      </c>
      <c r="O236" s="28" t="str">
        <f t="shared" si="24"/>
        <v>0 / 30</v>
      </c>
      <c r="P236" s="245">
        <v>0</v>
      </c>
      <c r="Q236" s="28"/>
      <c r="R236" s="246">
        <v>0</v>
      </c>
      <c r="S236" s="28" t="str">
        <f>CONCATENATE(SUMIF($E$6:$E236,E236,$R$6:$R$370)," / ",SUMIF($E$6:$E$370,E236,$R$6:$R$370))</f>
        <v>0 / 0</v>
      </c>
      <c r="T236" s="28" t="str">
        <f>CONCATENATE(SUMIF($F$6:$F236,$F236,$R$6:$R$370)," / ",SUMIF($F$6:$F$370,$F236,$R$6:$R$370))</f>
        <v>0 / 0</v>
      </c>
      <c r="U236" s="28" t="str">
        <f>CONCATENATE(SUM($R$6:$R236)," / ",SUM($R$6:$R$370))</f>
        <v>0 / 0</v>
      </c>
    </row>
    <row r="237" spans="2:21" ht="13" thickBot="1">
      <c r="B237" s="28"/>
      <c r="C237" s="237">
        <f t="shared" si="25"/>
        <v>42601</v>
      </c>
      <c r="D237" s="35" t="str">
        <f t="shared" si="26"/>
        <v>Vendredi</v>
      </c>
      <c r="E237" s="124">
        <f t="shared" si="22"/>
        <v>34</v>
      </c>
      <c r="F237" s="124">
        <f t="shared" si="23"/>
        <v>8</v>
      </c>
      <c r="G237" s="27"/>
      <c r="H237" s="28" t="str">
        <f>CONCATENATE(SUMIF($E$6:$E237,$E237,$K$6:$K$370)," / ",SUMIF($E$6:$E$370,$E237,$K$6:$K601))</f>
        <v>0 / 0</v>
      </c>
      <c r="I237" s="28" t="str">
        <f>CONCATENATE(SUMIF($F$6:$F237,$F237,$K$6:$K601)," / ",SUMIF($F$6:$F$370,$F237,$K$6:$K601))</f>
        <v>0 / 0</v>
      </c>
      <c r="J237" s="28" t="str">
        <f>CONCATENATE(SUM($K$6:$K237)," / ",SUM($K$6:$K$370))</f>
        <v>180,895 / 180,895</v>
      </c>
      <c r="K237" s="245">
        <v>0</v>
      </c>
      <c r="L237" s="28"/>
      <c r="M237" s="28" t="str">
        <f>CONCATENATE(SUMIF($E$6:$E237,$E237,$P$6:$P$370)," / ",SUMIF($E$6:$E$370,$E237,$P$6:$P$370))</f>
        <v>0 / 0</v>
      </c>
      <c r="N237" s="28" t="str">
        <f ca="1">CONCATENATE(SUMIF($F$6:$F237,$F237,$P237)," / ",SUMIF($F$6:$F$370,$F237,$P$6:$P$370))</f>
        <v>0 / 0</v>
      </c>
      <c r="O237" s="28" t="str">
        <f t="shared" si="24"/>
        <v>0 / 30</v>
      </c>
      <c r="P237" s="245">
        <v>0</v>
      </c>
      <c r="Q237" s="28"/>
      <c r="R237" s="246">
        <v>0</v>
      </c>
      <c r="S237" s="28" t="str">
        <f>CONCATENATE(SUMIF($E$6:$E237,E237,$R$6:$R$370)," / ",SUMIF($E$6:$E$370,E237,$R$6:$R$370))</f>
        <v>0 / 0</v>
      </c>
      <c r="T237" s="28" t="str">
        <f>CONCATENATE(SUMIF($F$6:$F237,$F237,$R$6:$R$370)," / ",SUMIF($F$6:$F$370,$F237,$R$6:$R$370))</f>
        <v>0 / 0</v>
      </c>
      <c r="U237" s="28" t="str">
        <f>CONCATENATE(SUM($R$6:$R237)," / ",SUM($R$6:$R$370))</f>
        <v>0 / 0</v>
      </c>
    </row>
    <row r="238" spans="2:21" ht="13" thickBot="1">
      <c r="B238" s="28"/>
      <c r="C238" s="237">
        <f t="shared" si="25"/>
        <v>42602</v>
      </c>
      <c r="D238" s="35" t="str">
        <f t="shared" si="26"/>
        <v>samedi</v>
      </c>
      <c r="E238" s="124">
        <f t="shared" si="22"/>
        <v>34</v>
      </c>
      <c r="F238" s="124">
        <f t="shared" si="23"/>
        <v>8</v>
      </c>
      <c r="G238" s="27"/>
      <c r="H238" s="28" t="str">
        <f>CONCATENATE(SUMIF($E$6:$E238,$E238,$K$6:$K$370)," / ",SUMIF($E$6:$E$370,$E238,$K$6:$K602))</f>
        <v>0 / 0</v>
      </c>
      <c r="I238" s="28" t="str">
        <f>CONCATENATE(SUMIF($F$6:$F238,$F238,$K$6:$K602)," / ",SUMIF($F$6:$F$370,$F238,$K$6:$K602))</f>
        <v>0 / 0</v>
      </c>
      <c r="J238" s="28" t="str">
        <f>CONCATENATE(SUM($K$6:$K238)," / ",SUM($K$6:$K$370))</f>
        <v>180,895 / 180,895</v>
      </c>
      <c r="K238" s="245">
        <v>0</v>
      </c>
      <c r="L238" s="28"/>
      <c r="M238" s="28" t="str">
        <f>CONCATENATE(SUMIF($E$6:$E238,$E238,$P$6:$P$370)," / ",SUMIF($E$6:$E$370,$E238,$P$6:$P$370))</f>
        <v>0 / 0</v>
      </c>
      <c r="N238" s="28" t="str">
        <f ca="1">CONCATENATE(SUMIF($F$6:$F238,$F238,$P238)," / ",SUMIF($F$6:$F$370,$F238,$P$6:$P$370))</f>
        <v>0 / 0</v>
      </c>
      <c r="O238" s="28" t="str">
        <f t="shared" si="24"/>
        <v>0 / 30</v>
      </c>
      <c r="P238" s="245">
        <v>0</v>
      </c>
      <c r="Q238" s="28"/>
      <c r="R238" s="246">
        <v>0</v>
      </c>
      <c r="S238" s="28" t="str">
        <f>CONCATENATE(SUMIF($E$6:$E238,E238,$R$6:$R$370)," / ",SUMIF($E$6:$E$370,E238,$R$6:$R$370))</f>
        <v>0 / 0</v>
      </c>
      <c r="T238" s="28" t="str">
        <f>CONCATENATE(SUMIF($F$6:$F238,$F238,$R$6:$R$370)," / ",SUMIF($F$6:$F$370,$F238,$R$6:$R$370))</f>
        <v>0 / 0</v>
      </c>
      <c r="U238" s="28" t="str">
        <f>CONCATENATE(SUM($R$6:$R238)," / ",SUM($R$6:$R$370))</f>
        <v>0 / 0</v>
      </c>
    </row>
    <row r="239" spans="2:21" ht="13" thickBot="1">
      <c r="B239" s="28"/>
      <c r="C239" s="237">
        <f t="shared" si="25"/>
        <v>42603</v>
      </c>
      <c r="D239" s="35" t="str">
        <f t="shared" si="26"/>
        <v>Dimanche</v>
      </c>
      <c r="E239" s="124">
        <f t="shared" si="22"/>
        <v>35</v>
      </c>
      <c r="F239" s="124">
        <f t="shared" si="23"/>
        <v>8</v>
      </c>
      <c r="G239" s="27"/>
      <c r="H239" s="28" t="str">
        <f>CONCATENATE(SUMIF($E$6:$E239,$E239,$K$6:$K$370)," / ",SUMIF($E$6:$E$370,$E239,$K$6:$K603))</f>
        <v>0 / 0</v>
      </c>
      <c r="I239" s="28" t="str">
        <f>CONCATENATE(SUMIF($F$6:$F239,$F239,$K$6:$K603)," / ",SUMIF($F$6:$F$370,$F239,$K$6:$K603))</f>
        <v>0 / 0</v>
      </c>
      <c r="J239" s="28" t="str">
        <f>CONCATENATE(SUM($K$6:$K239)," / ",SUM($K$6:$K$370))</f>
        <v>180,895 / 180,895</v>
      </c>
      <c r="K239" s="245">
        <v>0</v>
      </c>
      <c r="L239" s="28"/>
      <c r="M239" s="28" t="str">
        <f>CONCATENATE(SUMIF($E$6:$E239,$E239,$P$6:$P$370)," / ",SUMIF($E$6:$E$370,$E239,$P$6:$P$370))</f>
        <v>0 / 0</v>
      </c>
      <c r="N239" s="28" t="str">
        <f ca="1">CONCATENATE(SUMIF($F$6:$F239,$F239,$P239)," / ",SUMIF($F$6:$F$370,$F239,$P$6:$P$370))</f>
        <v>0 / 0</v>
      </c>
      <c r="O239" s="28" t="str">
        <f t="shared" si="24"/>
        <v>0 / 30</v>
      </c>
      <c r="P239" s="245">
        <v>0</v>
      </c>
      <c r="Q239" s="28"/>
      <c r="R239" s="246">
        <v>0</v>
      </c>
      <c r="S239" s="28" t="str">
        <f>CONCATENATE(SUMIF($E$6:$E239,E239,$R$6:$R$370)," / ",SUMIF($E$6:$E$370,E239,$R$6:$R$370))</f>
        <v>0 / 0</v>
      </c>
      <c r="T239" s="28" t="str">
        <f>CONCATENATE(SUMIF($F$6:$F239,$F239,$R$6:$R$370)," / ",SUMIF($F$6:$F$370,$F239,$R$6:$R$370))</f>
        <v>0 / 0</v>
      </c>
      <c r="U239" s="28" t="str">
        <f>CONCATENATE(SUM($R$6:$R239)," / ",SUM($R$6:$R$370))</f>
        <v>0 / 0</v>
      </c>
    </row>
    <row r="240" spans="2:21" ht="13" thickBot="1">
      <c r="B240" s="28"/>
      <c r="C240" s="237">
        <f t="shared" si="25"/>
        <v>42604</v>
      </c>
      <c r="D240" s="35" t="str">
        <f t="shared" si="26"/>
        <v>Lundi</v>
      </c>
      <c r="E240" s="124">
        <f t="shared" si="22"/>
        <v>35</v>
      </c>
      <c r="F240" s="124">
        <f t="shared" si="23"/>
        <v>8</v>
      </c>
      <c r="G240" s="27"/>
      <c r="H240" s="28" t="str">
        <f>CONCATENATE(SUMIF($E$6:$E240,$E240,$K$6:$K$370)," / ",SUMIF($E$6:$E$370,$E240,$K$6:$K604))</f>
        <v>0 / 0</v>
      </c>
      <c r="I240" s="28" t="str">
        <f>CONCATENATE(SUMIF($F$6:$F240,$F240,$K$6:$K604)," / ",SUMIF($F$6:$F$370,$F240,$K$6:$K604))</f>
        <v>0 / 0</v>
      </c>
      <c r="J240" s="28" t="str">
        <f>CONCATENATE(SUM($K$6:$K240)," / ",SUM($K$6:$K$370))</f>
        <v>180,895 / 180,895</v>
      </c>
      <c r="K240" s="245">
        <v>0</v>
      </c>
      <c r="L240" s="28"/>
      <c r="M240" s="28" t="str">
        <f>CONCATENATE(SUMIF($E$6:$E240,$E240,$P$6:$P$370)," / ",SUMIF($E$6:$E$370,$E240,$P$6:$P$370))</f>
        <v>0 / 0</v>
      </c>
      <c r="N240" s="28" t="str">
        <f ca="1">CONCATENATE(SUMIF($F$6:$F240,$F240,$P240)," / ",SUMIF($F$6:$F$370,$F240,$P$6:$P$370))</f>
        <v>0 / 0</v>
      </c>
      <c r="O240" s="28" t="str">
        <f t="shared" si="24"/>
        <v>0 / 30</v>
      </c>
      <c r="P240" s="245">
        <v>0</v>
      </c>
      <c r="Q240" s="28"/>
      <c r="R240" s="246">
        <v>0</v>
      </c>
      <c r="S240" s="28" t="str">
        <f>CONCATENATE(SUMIF($E$6:$E240,E240,$R$6:$R$370)," / ",SUMIF($E$6:$E$370,E240,$R$6:$R$370))</f>
        <v>0 / 0</v>
      </c>
      <c r="T240" s="28" t="str">
        <f>CONCATENATE(SUMIF($F$6:$F240,$F240,$R$6:$R$370)," / ",SUMIF($F$6:$F$370,$F240,$R$6:$R$370))</f>
        <v>0 / 0</v>
      </c>
      <c r="U240" s="28" t="str">
        <f>CONCATENATE(SUM($R$6:$R240)," / ",SUM($R$6:$R$370))</f>
        <v>0 / 0</v>
      </c>
    </row>
    <row r="241" spans="2:21" ht="13" thickBot="1">
      <c r="B241" s="28"/>
      <c r="C241" s="237">
        <f t="shared" si="25"/>
        <v>42605</v>
      </c>
      <c r="D241" s="35" t="str">
        <f t="shared" si="26"/>
        <v>Mardi</v>
      </c>
      <c r="E241" s="124">
        <f t="shared" si="22"/>
        <v>35</v>
      </c>
      <c r="F241" s="124">
        <f t="shared" si="23"/>
        <v>8</v>
      </c>
      <c r="G241" s="27"/>
      <c r="H241" s="28" t="str">
        <f>CONCATENATE(SUMIF($E$6:$E241,$E241,$K$6:$K$370)," / ",SUMIF($E$6:$E$370,$E241,$K$6:$K605))</f>
        <v>0 / 0</v>
      </c>
      <c r="I241" s="28" t="str">
        <f>CONCATENATE(SUMIF($F$6:$F241,$F241,$K$6:$K605)," / ",SUMIF($F$6:$F$370,$F241,$K$6:$K605))</f>
        <v>0 / 0</v>
      </c>
      <c r="J241" s="28" t="str">
        <f>CONCATENATE(SUM($K$6:$K241)," / ",SUM($K$6:$K$370))</f>
        <v>180,895 / 180,895</v>
      </c>
      <c r="K241" s="245">
        <v>0</v>
      </c>
      <c r="L241" s="28"/>
      <c r="M241" s="28" t="str">
        <f>CONCATENATE(SUMIF($E$6:$E241,$E241,$P$6:$P$370)," / ",SUMIF($E$6:$E$370,$E241,$P$6:$P$370))</f>
        <v>0 / 0</v>
      </c>
      <c r="N241" s="28" t="str">
        <f ca="1">CONCATENATE(SUMIF($F$6:$F241,$F241,$P241)," / ",SUMIF($F$6:$F$370,$F241,$P$6:$P$370))</f>
        <v>0 / 0</v>
      </c>
      <c r="O241" s="28" t="str">
        <f t="shared" si="24"/>
        <v>0 / 30</v>
      </c>
      <c r="P241" s="245">
        <v>0</v>
      </c>
      <c r="Q241" s="28"/>
      <c r="R241" s="246">
        <v>0</v>
      </c>
      <c r="S241" s="28" t="str">
        <f>CONCATENATE(SUMIF($E$6:$E241,E241,$R$6:$R$370)," / ",SUMIF($E$6:$E$370,E241,$R$6:$R$370))</f>
        <v>0 / 0</v>
      </c>
      <c r="T241" s="28" t="str">
        <f>CONCATENATE(SUMIF($F$6:$F241,$F241,$R$6:$R$370)," / ",SUMIF($F$6:$F$370,$F241,$R$6:$R$370))</f>
        <v>0 / 0</v>
      </c>
      <c r="U241" s="28" t="str">
        <f>CONCATENATE(SUM($R$6:$R241)," / ",SUM($R$6:$R$370))</f>
        <v>0 / 0</v>
      </c>
    </row>
    <row r="242" spans="2:21" ht="13" thickBot="1">
      <c r="B242" s="28"/>
      <c r="C242" s="237">
        <f t="shared" si="25"/>
        <v>42606</v>
      </c>
      <c r="D242" s="35" t="str">
        <f t="shared" si="26"/>
        <v>Mercredi</v>
      </c>
      <c r="E242" s="124">
        <f t="shared" si="22"/>
        <v>35</v>
      </c>
      <c r="F242" s="124">
        <f t="shared" si="23"/>
        <v>8</v>
      </c>
      <c r="G242" s="27"/>
      <c r="H242" s="28" t="str">
        <f>CONCATENATE(SUMIF($E$6:$E242,$E242,$K$6:$K$370)," / ",SUMIF($E$6:$E$370,$E242,$K$6:$K606))</f>
        <v>0 / 0</v>
      </c>
      <c r="I242" s="28" t="str">
        <f>CONCATENATE(SUMIF($F$6:$F242,$F242,$K$6:$K606)," / ",SUMIF($F$6:$F$370,$F242,$K$6:$K606))</f>
        <v>0 / 0</v>
      </c>
      <c r="J242" s="28" t="str">
        <f>CONCATENATE(SUM($K$6:$K242)," / ",SUM($K$6:$K$370))</f>
        <v>180,895 / 180,895</v>
      </c>
      <c r="K242" s="245">
        <v>0</v>
      </c>
      <c r="L242" s="28"/>
      <c r="M242" s="28" t="str">
        <f>CONCATENATE(SUMIF($E$6:$E242,$E242,$P$6:$P$370)," / ",SUMIF($E$6:$E$370,$E242,$P$6:$P$370))</f>
        <v>0 / 0</v>
      </c>
      <c r="N242" s="28" t="str">
        <f ca="1">CONCATENATE(SUMIF($F$6:$F242,$F242,$P242)," / ",SUMIF($F$6:$F$370,$F242,$P$6:$P$370))</f>
        <v>0 / 0</v>
      </c>
      <c r="O242" s="28" t="str">
        <f t="shared" si="24"/>
        <v>0 / 30</v>
      </c>
      <c r="P242" s="245">
        <v>0</v>
      </c>
      <c r="Q242" s="28"/>
      <c r="R242" s="246">
        <v>0</v>
      </c>
      <c r="S242" s="28" t="str">
        <f>CONCATENATE(SUMIF($E$6:$E242,E242,$R$6:$R$370)," / ",SUMIF($E$6:$E$370,E242,$R$6:$R$370))</f>
        <v>0 / 0</v>
      </c>
      <c r="T242" s="28" t="str">
        <f>CONCATENATE(SUMIF($F$6:$F242,$F242,$R$6:$R$370)," / ",SUMIF($F$6:$F$370,$F242,$R$6:$R$370))</f>
        <v>0 / 0</v>
      </c>
      <c r="U242" s="28" t="str">
        <f>CONCATENATE(SUM($R$6:$R242)," / ",SUM($R$6:$R$370))</f>
        <v>0 / 0</v>
      </c>
    </row>
    <row r="243" spans="2:21" ht="13" thickBot="1">
      <c r="B243" s="28"/>
      <c r="C243" s="237">
        <f t="shared" si="25"/>
        <v>42607</v>
      </c>
      <c r="D243" s="35" t="str">
        <f t="shared" si="26"/>
        <v>Jeudi</v>
      </c>
      <c r="E243" s="124">
        <f t="shared" si="22"/>
        <v>35</v>
      </c>
      <c r="F243" s="124">
        <f t="shared" si="23"/>
        <v>8</v>
      </c>
      <c r="G243" s="27"/>
      <c r="H243" s="28" t="str">
        <f>CONCATENATE(SUMIF($E$6:$E243,$E243,$K$6:$K$370)," / ",SUMIF($E$6:$E$370,$E243,$K$6:$K607))</f>
        <v>0 / 0</v>
      </c>
      <c r="I243" s="28" t="str">
        <f>CONCATENATE(SUMIF($F$6:$F243,$F243,$K$6:$K607)," / ",SUMIF($F$6:$F$370,$F243,$K$6:$K607))</f>
        <v>0 / 0</v>
      </c>
      <c r="J243" s="28" t="str">
        <f>CONCATENATE(SUM($K$6:$K243)," / ",SUM($K$6:$K$370))</f>
        <v>180,895 / 180,895</v>
      </c>
      <c r="K243" s="245">
        <v>0</v>
      </c>
      <c r="L243" s="28"/>
      <c r="M243" s="28" t="str">
        <f>CONCATENATE(SUMIF($E$6:$E243,$E243,$P$6:$P$370)," / ",SUMIF($E$6:$E$370,$E243,$P$6:$P$370))</f>
        <v>0 / 0</v>
      </c>
      <c r="N243" s="28" t="str">
        <f ca="1">CONCATENATE(SUMIF($F$6:$F243,$F243,$P243)," / ",SUMIF($F$6:$F$370,$F243,$P$6:$P$370))</f>
        <v>0 / 0</v>
      </c>
      <c r="O243" s="28" t="str">
        <f t="shared" si="24"/>
        <v>0 / 30</v>
      </c>
      <c r="P243" s="245">
        <v>0</v>
      </c>
      <c r="Q243" s="28"/>
      <c r="R243" s="246">
        <v>0</v>
      </c>
      <c r="S243" s="28" t="str">
        <f>CONCATENATE(SUMIF($E$6:$E243,E243,$R$6:$R$370)," / ",SUMIF($E$6:$E$370,E243,$R$6:$R$370))</f>
        <v>0 / 0</v>
      </c>
      <c r="T243" s="28" t="str">
        <f>CONCATENATE(SUMIF($F$6:$F243,$F243,$R$6:$R$370)," / ",SUMIF($F$6:$F$370,$F243,$R$6:$R$370))</f>
        <v>0 / 0</v>
      </c>
      <c r="U243" s="28" t="str">
        <f>CONCATENATE(SUM($R$6:$R243)," / ",SUM($R$6:$R$370))</f>
        <v>0 / 0</v>
      </c>
    </row>
    <row r="244" spans="2:21" ht="13" thickBot="1">
      <c r="B244" s="28"/>
      <c r="C244" s="237">
        <f t="shared" si="25"/>
        <v>42608</v>
      </c>
      <c r="D244" s="35" t="str">
        <f t="shared" si="26"/>
        <v>Vendredi</v>
      </c>
      <c r="E244" s="124">
        <f t="shared" si="22"/>
        <v>35</v>
      </c>
      <c r="F244" s="124">
        <f t="shared" si="23"/>
        <v>8</v>
      </c>
      <c r="G244" s="27"/>
      <c r="H244" s="28" t="str">
        <f>CONCATENATE(SUMIF($E$6:$E244,$E244,$K$6:$K$370)," / ",SUMIF($E$6:$E$370,$E244,$K$6:$K608))</f>
        <v>0 / 0</v>
      </c>
      <c r="I244" s="28" t="str">
        <f>CONCATENATE(SUMIF($F$6:$F244,$F244,$K$6:$K608)," / ",SUMIF($F$6:$F$370,$F244,$K$6:$K608))</f>
        <v>0 / 0</v>
      </c>
      <c r="J244" s="28" t="str">
        <f>CONCATENATE(SUM($K$6:$K244)," / ",SUM($K$6:$K$370))</f>
        <v>180,895 / 180,895</v>
      </c>
      <c r="K244" s="245">
        <v>0</v>
      </c>
      <c r="L244" s="28"/>
      <c r="M244" s="28" t="str">
        <f>CONCATENATE(SUMIF($E$6:$E244,$E244,$P$6:$P$370)," / ",SUMIF($E$6:$E$370,$E244,$P$6:$P$370))</f>
        <v>0 / 0</v>
      </c>
      <c r="N244" s="28" t="str">
        <f ca="1">CONCATENATE(SUMIF($F$6:$F244,$F244,$P244)," / ",SUMIF($F$6:$F$370,$F244,$P$6:$P$370))</f>
        <v>0 / 0</v>
      </c>
      <c r="O244" s="28" t="str">
        <f t="shared" si="24"/>
        <v>0 / 30</v>
      </c>
      <c r="P244" s="245">
        <v>0</v>
      </c>
      <c r="Q244" s="28"/>
      <c r="R244" s="246">
        <v>0</v>
      </c>
      <c r="S244" s="28" t="str">
        <f>CONCATENATE(SUMIF($E$6:$E244,E244,$R$6:$R$370)," / ",SUMIF($E$6:$E$370,E244,$R$6:$R$370))</f>
        <v>0 / 0</v>
      </c>
      <c r="T244" s="28" t="str">
        <f>CONCATENATE(SUMIF($F$6:$F244,$F244,$R$6:$R$370)," / ",SUMIF($F$6:$F$370,$F244,$R$6:$R$370))</f>
        <v>0 / 0</v>
      </c>
      <c r="U244" s="28" t="str">
        <f>CONCATENATE(SUM($R$6:$R244)," / ",SUM($R$6:$R$370))</f>
        <v>0 / 0</v>
      </c>
    </row>
    <row r="245" spans="2:21" ht="13" thickBot="1">
      <c r="B245" s="28"/>
      <c r="C245" s="237">
        <f t="shared" si="25"/>
        <v>42609</v>
      </c>
      <c r="D245" s="35" t="str">
        <f t="shared" si="26"/>
        <v>samedi</v>
      </c>
      <c r="E245" s="124">
        <f t="shared" si="22"/>
        <v>35</v>
      </c>
      <c r="F245" s="124">
        <f t="shared" si="23"/>
        <v>8</v>
      </c>
      <c r="G245" s="27"/>
      <c r="H245" s="28" t="str">
        <f>CONCATENATE(SUMIF($E$6:$E245,$E245,$K$6:$K$370)," / ",SUMIF($E$6:$E$370,$E245,$K$6:$K609))</f>
        <v>0 / 0</v>
      </c>
      <c r="I245" s="28" t="str">
        <f>CONCATENATE(SUMIF($F$6:$F245,$F245,$K$6:$K609)," / ",SUMIF($F$6:$F$370,$F245,$K$6:$K609))</f>
        <v>0 / 0</v>
      </c>
      <c r="J245" s="28" t="str">
        <f>CONCATENATE(SUM($K$6:$K245)," / ",SUM($K$6:$K$370))</f>
        <v>180,895 / 180,895</v>
      </c>
      <c r="K245" s="245">
        <v>0</v>
      </c>
      <c r="L245" s="28"/>
      <c r="M245" s="28" t="str">
        <f>CONCATENATE(SUMIF($E$6:$E245,$E245,$P$6:$P$370)," / ",SUMIF($E$6:$E$370,$E245,$P$6:$P$370))</f>
        <v>0 / 0</v>
      </c>
      <c r="N245" s="28" t="str">
        <f ca="1">CONCATENATE(SUMIF($F$6:$F245,$F245,$P245)," / ",SUMIF($F$6:$F$370,$F245,$P$6:$P$370))</f>
        <v>0 / 0</v>
      </c>
      <c r="O245" s="28" t="str">
        <f t="shared" si="24"/>
        <v>0 / 30</v>
      </c>
      <c r="P245" s="245">
        <v>0</v>
      </c>
      <c r="Q245" s="28"/>
      <c r="R245" s="246">
        <v>0</v>
      </c>
      <c r="S245" s="28" t="str">
        <f>CONCATENATE(SUMIF($E$6:$E245,E245,$R$6:$R$370)," / ",SUMIF($E$6:$E$370,E245,$R$6:$R$370))</f>
        <v>0 / 0</v>
      </c>
      <c r="T245" s="28" t="str">
        <f>CONCATENATE(SUMIF($F$6:$F245,$F245,$R$6:$R$370)," / ",SUMIF($F$6:$F$370,$F245,$R$6:$R$370))</f>
        <v>0 / 0</v>
      </c>
      <c r="U245" s="28" t="str">
        <f>CONCATENATE(SUM($R$6:$R245)," / ",SUM($R$6:$R$370))</f>
        <v>0 / 0</v>
      </c>
    </row>
    <row r="246" spans="2:21" ht="13" thickBot="1">
      <c r="B246" s="28"/>
      <c r="C246" s="237">
        <f t="shared" si="25"/>
        <v>42610</v>
      </c>
      <c r="D246" s="35" t="str">
        <f t="shared" si="26"/>
        <v>Dimanche</v>
      </c>
      <c r="E246" s="124">
        <f t="shared" si="22"/>
        <v>36</v>
      </c>
      <c r="F246" s="124">
        <f t="shared" si="23"/>
        <v>8</v>
      </c>
      <c r="G246" s="27"/>
      <c r="H246" s="28" t="str">
        <f>CONCATENATE(SUMIF($E$6:$E246,$E246,$K$6:$K$370)," / ",SUMIF($E$6:$E$370,$E246,$K$6:$K610))</f>
        <v>0 / 0</v>
      </c>
      <c r="I246" s="28" t="str">
        <f>CONCATENATE(SUMIF($F$6:$F246,$F246,$K$6:$K610)," / ",SUMIF($F$6:$F$370,$F246,$K$6:$K610))</f>
        <v>0 / 0</v>
      </c>
      <c r="J246" s="28" t="str">
        <f>CONCATENATE(SUM($K$6:$K246)," / ",SUM($K$6:$K$370))</f>
        <v>180,895 / 180,895</v>
      </c>
      <c r="K246" s="245">
        <v>0</v>
      </c>
      <c r="L246" s="28"/>
      <c r="M246" s="28" t="str">
        <f>CONCATENATE(SUMIF($E$6:$E246,$E246,$P$6:$P$370)," / ",SUMIF($E$6:$E$370,$E246,$P$6:$P$370))</f>
        <v>0 / 0</v>
      </c>
      <c r="N246" s="28" t="str">
        <f ca="1">CONCATENATE(SUMIF($F$6:$F246,$F246,$P246)," / ",SUMIF($F$6:$F$370,$F246,$P$6:$P$370))</f>
        <v>0 / 0</v>
      </c>
      <c r="O246" s="28" t="str">
        <f t="shared" si="24"/>
        <v>0 / 30</v>
      </c>
      <c r="P246" s="245">
        <v>0</v>
      </c>
      <c r="Q246" s="28"/>
      <c r="R246" s="246">
        <v>0</v>
      </c>
      <c r="S246" s="28" t="str">
        <f>CONCATENATE(SUMIF($E$6:$E246,E246,$R$6:$R$370)," / ",SUMIF($E$6:$E$370,E246,$R$6:$R$370))</f>
        <v>0 / 0</v>
      </c>
      <c r="T246" s="28" t="str">
        <f>CONCATENATE(SUMIF($F$6:$F246,$F246,$R$6:$R$370)," / ",SUMIF($F$6:$F$370,$F246,$R$6:$R$370))</f>
        <v>0 / 0</v>
      </c>
      <c r="U246" s="28" t="str">
        <f>CONCATENATE(SUM($R$6:$R246)," / ",SUM($R$6:$R$370))</f>
        <v>0 / 0</v>
      </c>
    </row>
    <row r="247" spans="2:21" ht="13" thickBot="1">
      <c r="B247" s="28"/>
      <c r="C247" s="237">
        <f t="shared" si="25"/>
        <v>42611</v>
      </c>
      <c r="D247" s="35" t="str">
        <f t="shared" si="26"/>
        <v>Lundi</v>
      </c>
      <c r="E247" s="124">
        <f t="shared" si="22"/>
        <v>36</v>
      </c>
      <c r="F247" s="124">
        <f t="shared" si="23"/>
        <v>8</v>
      </c>
      <c r="G247" s="27"/>
      <c r="H247" s="28" t="str">
        <f>CONCATENATE(SUMIF($E$6:$E247,$E247,$K$6:$K$370)," / ",SUMIF($E$6:$E$370,$E247,$K$6:$K611))</f>
        <v>0 / 0</v>
      </c>
      <c r="I247" s="28" t="str">
        <f>CONCATENATE(SUMIF($F$6:$F247,$F247,$K$6:$K611)," / ",SUMIF($F$6:$F$370,$F247,$K$6:$K611))</f>
        <v>0 / 0</v>
      </c>
      <c r="J247" s="28" t="str">
        <f>CONCATENATE(SUM($K$6:$K247)," / ",SUM($K$6:$K$370))</f>
        <v>180,895 / 180,895</v>
      </c>
      <c r="K247" s="245">
        <v>0</v>
      </c>
      <c r="L247" s="28"/>
      <c r="M247" s="28" t="str">
        <f>CONCATENATE(SUMIF($E$6:$E247,$E247,$P$6:$P$370)," / ",SUMIF($E$6:$E$370,$E247,$P$6:$P$370))</f>
        <v>0 / 0</v>
      </c>
      <c r="N247" s="28" t="str">
        <f ca="1">CONCATENATE(SUMIF($F$6:$F247,$F247,$P247)," / ",SUMIF($F$6:$F$370,$F247,$P$6:$P$370))</f>
        <v>0 / 0</v>
      </c>
      <c r="O247" s="28" t="str">
        <f t="shared" si="24"/>
        <v>0 / 30</v>
      </c>
      <c r="P247" s="245">
        <v>0</v>
      </c>
      <c r="Q247" s="28"/>
      <c r="R247" s="246">
        <v>0</v>
      </c>
      <c r="S247" s="28" t="str">
        <f>CONCATENATE(SUMIF($E$6:$E247,E247,$R$6:$R$370)," / ",SUMIF($E$6:$E$370,E247,$R$6:$R$370))</f>
        <v>0 / 0</v>
      </c>
      <c r="T247" s="28" t="str">
        <f>CONCATENATE(SUMIF($F$6:$F247,$F247,$R$6:$R$370)," / ",SUMIF($F$6:$F$370,$F247,$R$6:$R$370))</f>
        <v>0 / 0</v>
      </c>
      <c r="U247" s="28" t="str">
        <f>CONCATENATE(SUM($R$6:$R247)," / ",SUM($R$6:$R$370))</f>
        <v>0 / 0</v>
      </c>
    </row>
    <row r="248" spans="2:21" ht="13" thickBot="1">
      <c r="B248" s="28"/>
      <c r="C248" s="237">
        <f t="shared" si="25"/>
        <v>42612</v>
      </c>
      <c r="D248" s="35" t="str">
        <f t="shared" si="26"/>
        <v>Mardi</v>
      </c>
      <c r="E248" s="124">
        <f t="shared" si="22"/>
        <v>36</v>
      </c>
      <c r="F248" s="124">
        <f t="shared" si="23"/>
        <v>8</v>
      </c>
      <c r="G248" s="27"/>
      <c r="H248" s="28" t="str">
        <f>CONCATENATE(SUMIF($E$6:$E248,$E248,$K$6:$K$370)," / ",SUMIF($E$6:$E$370,$E248,$K$6:$K612))</f>
        <v>0 / 0</v>
      </c>
      <c r="I248" s="28" t="str">
        <f>CONCATENATE(SUMIF($F$6:$F248,$F248,$K$6:$K612)," / ",SUMIF($F$6:$F$370,$F248,$K$6:$K612))</f>
        <v>0 / 0</v>
      </c>
      <c r="J248" s="28" t="str">
        <f>CONCATENATE(SUM($K$6:$K248)," / ",SUM($K$6:$K$370))</f>
        <v>180,895 / 180,895</v>
      </c>
      <c r="K248" s="245">
        <v>0</v>
      </c>
      <c r="L248" s="28"/>
      <c r="M248" s="28" t="str">
        <f>CONCATENATE(SUMIF($E$6:$E248,$E248,$P$6:$P$370)," / ",SUMIF($E$6:$E$370,$E248,$P$6:$P$370))</f>
        <v>0 / 0</v>
      </c>
      <c r="N248" s="28" t="str">
        <f ca="1">CONCATENATE(SUMIF($F$6:$F248,$F248,$P248)," / ",SUMIF($F$6:$F$370,$F248,$P$6:$P$370))</f>
        <v>0 / 0</v>
      </c>
      <c r="O248" s="28" t="str">
        <f t="shared" si="24"/>
        <v>0 / 30</v>
      </c>
      <c r="P248" s="245">
        <v>0</v>
      </c>
      <c r="Q248" s="28"/>
      <c r="R248" s="246">
        <v>0</v>
      </c>
      <c r="S248" s="28" t="str">
        <f>CONCATENATE(SUMIF($E$6:$E248,E248,$R$6:$R$370)," / ",SUMIF($E$6:$E$370,E248,$R$6:$R$370))</f>
        <v>0 / 0</v>
      </c>
      <c r="T248" s="28" t="str">
        <f>CONCATENATE(SUMIF($F$6:$F248,$F248,$R$6:$R$370)," / ",SUMIF($F$6:$F$370,$F248,$R$6:$R$370))</f>
        <v>0 / 0</v>
      </c>
      <c r="U248" s="28" t="str">
        <f>CONCATENATE(SUM($R$6:$R248)," / ",SUM($R$6:$R$370))</f>
        <v>0 / 0</v>
      </c>
    </row>
    <row r="249" spans="2:21" ht="13" thickBot="1">
      <c r="B249" s="28"/>
      <c r="C249" s="237">
        <f t="shared" si="25"/>
        <v>42613</v>
      </c>
      <c r="D249" s="35" t="str">
        <f t="shared" si="26"/>
        <v>Mercredi</v>
      </c>
      <c r="E249" s="124">
        <f t="shared" si="22"/>
        <v>36</v>
      </c>
      <c r="F249" s="124">
        <f t="shared" si="23"/>
        <v>8</v>
      </c>
      <c r="G249" s="27"/>
      <c r="H249" s="28" t="str">
        <f>CONCATENATE(SUMIF($E$6:$E249,$E249,$K$6:$K$370)," / ",SUMIF($E$6:$E$370,$E249,$K$6:$K613))</f>
        <v>0 / 0</v>
      </c>
      <c r="I249" s="28" t="str">
        <f>CONCATENATE(SUMIF($F$6:$F249,$F249,$K$6:$K613)," / ",SUMIF($F$6:$F$370,$F249,$K$6:$K613))</f>
        <v>0 / 0</v>
      </c>
      <c r="J249" s="28" t="str">
        <f>CONCATENATE(SUM($K$6:$K249)," / ",SUM($K$6:$K$370))</f>
        <v>180,895 / 180,895</v>
      </c>
      <c r="K249" s="245">
        <v>0</v>
      </c>
      <c r="L249" s="28"/>
      <c r="M249" s="28" t="str">
        <f>CONCATENATE(SUMIF($E$6:$E249,$E249,$P$6:$P$370)," / ",SUMIF($E$6:$E$370,$E249,$P$6:$P$370))</f>
        <v>0 / 0</v>
      </c>
      <c r="N249" s="28" t="str">
        <f ca="1">CONCATENATE(SUMIF($F$6:$F249,$F249,$P249)," / ",SUMIF($F$6:$F$370,$F249,$P$6:$P$370))</f>
        <v>0 / 0</v>
      </c>
      <c r="O249" s="28" t="str">
        <f t="shared" si="24"/>
        <v>0 / 30</v>
      </c>
      <c r="P249" s="245">
        <v>0</v>
      </c>
      <c r="Q249" s="28"/>
      <c r="R249" s="246">
        <v>0</v>
      </c>
      <c r="S249" s="28" t="str">
        <f>CONCATENATE(SUMIF($E$6:$E249,E249,$R$6:$R$370)," / ",SUMIF($E$6:$E$370,E249,$R$6:$R$370))</f>
        <v>0 / 0</v>
      </c>
      <c r="T249" s="28" t="str">
        <f>CONCATENATE(SUMIF($F$6:$F249,$F249,$R$6:$R$370)," / ",SUMIF($F$6:$F$370,$F249,$R$6:$R$370))</f>
        <v>0 / 0</v>
      </c>
      <c r="U249" s="28" t="str">
        <f>CONCATENATE(SUM($R$6:$R249)," / ",SUM($R$6:$R$370))</f>
        <v>0 / 0</v>
      </c>
    </row>
    <row r="250" spans="2:21" ht="13" thickBot="1">
      <c r="B250" s="28"/>
      <c r="C250" s="237">
        <f t="shared" si="25"/>
        <v>42614</v>
      </c>
      <c r="D250" s="35" t="str">
        <f t="shared" si="26"/>
        <v>Jeudi</v>
      </c>
      <c r="E250" s="124">
        <f t="shared" si="22"/>
        <v>36</v>
      </c>
      <c r="F250" s="124">
        <f t="shared" si="23"/>
        <v>9</v>
      </c>
      <c r="G250" s="27"/>
      <c r="H250" s="28" t="str">
        <f>CONCATENATE(SUMIF($E$6:$E250,$E250,$K$6:$K$370)," / ",SUMIF($E$6:$E$370,$E250,$K$6:$K614))</f>
        <v>0 / 0</v>
      </c>
      <c r="I250" s="28" t="str">
        <f>CONCATENATE(SUMIF($F$6:$F250,$F250,$K$6:$K614)," / ",SUMIF($F$6:$F$370,$F250,$K$6:$K614))</f>
        <v>0 / 0</v>
      </c>
      <c r="J250" s="28" t="str">
        <f>CONCATENATE(SUM($K$6:$K250)," / ",SUM($K$6:$K$370))</f>
        <v>180,895 / 180,895</v>
      </c>
      <c r="K250" s="245">
        <v>0</v>
      </c>
      <c r="L250" s="28"/>
      <c r="M250" s="28" t="str">
        <f>CONCATENATE(SUMIF($E$6:$E250,$E250,$P$6:$P$370)," / ",SUMIF($E$6:$E$370,$E250,$P$6:$P$370))</f>
        <v>0 / 0</v>
      </c>
      <c r="N250" s="28" t="str">
        <f ca="1">CONCATENATE(SUMIF($F$6:$F250,$F250,$P250)," / ",SUMIF($F$6:$F$370,$F250,$P$6:$P$370))</f>
        <v>0 / 0</v>
      </c>
      <c r="O250" s="28" t="str">
        <f t="shared" si="24"/>
        <v>0 / 30</v>
      </c>
      <c r="P250" s="245">
        <v>0</v>
      </c>
      <c r="Q250" s="28"/>
      <c r="R250" s="246">
        <v>0</v>
      </c>
      <c r="S250" s="28" t="str">
        <f>CONCATENATE(SUMIF($E$6:$E250,E250,$R$6:$R$370)," / ",SUMIF($E$6:$E$370,E250,$R$6:$R$370))</f>
        <v>0 / 0</v>
      </c>
      <c r="T250" s="28" t="str">
        <f>CONCATENATE(SUMIF($F$6:$F250,$F250,$R$6:$R$370)," / ",SUMIF($F$6:$F$370,$F250,$R$6:$R$370))</f>
        <v>0 / 0</v>
      </c>
      <c r="U250" s="28" t="str">
        <f>CONCATENATE(SUM($R$6:$R250)," / ",SUM($R$6:$R$370))</f>
        <v>0 / 0</v>
      </c>
    </row>
    <row r="251" spans="2:21" ht="13" thickBot="1">
      <c r="B251" s="28"/>
      <c r="C251" s="237">
        <f t="shared" si="25"/>
        <v>42615</v>
      </c>
      <c r="D251" s="35" t="str">
        <f t="shared" si="26"/>
        <v>Vendredi</v>
      </c>
      <c r="E251" s="124">
        <f t="shared" si="22"/>
        <v>36</v>
      </c>
      <c r="F251" s="124">
        <f t="shared" si="23"/>
        <v>9</v>
      </c>
      <c r="G251" s="27"/>
      <c r="H251" s="28" t="str">
        <f>CONCATENATE(SUMIF($E$6:$E251,$E251,$K$6:$K$370)," / ",SUMIF($E$6:$E$370,$E251,$K$6:$K615))</f>
        <v>0 / 0</v>
      </c>
      <c r="I251" s="28" t="str">
        <f>CONCATENATE(SUMIF($F$6:$F251,$F251,$K$6:$K615)," / ",SUMIF($F$6:$F$370,$F251,$K$6:$K615))</f>
        <v>0 / 0</v>
      </c>
      <c r="J251" s="28" t="str">
        <f>CONCATENATE(SUM($K$6:$K251)," / ",SUM($K$6:$K$370))</f>
        <v>180,895 / 180,895</v>
      </c>
      <c r="K251" s="245">
        <v>0</v>
      </c>
      <c r="L251" s="28"/>
      <c r="M251" s="28" t="str">
        <f>CONCATENATE(SUMIF($E$6:$E251,$E251,$P$6:$P$370)," / ",SUMIF($E$6:$E$370,$E251,$P$6:$P$370))</f>
        <v>0 / 0</v>
      </c>
      <c r="N251" s="28" t="str">
        <f ca="1">CONCATENATE(SUMIF($F$6:$F251,$F251,$P251)," / ",SUMIF($F$6:$F$370,$F251,$P$6:$P$370))</f>
        <v>0 / 0</v>
      </c>
      <c r="O251" s="28" t="str">
        <f t="shared" si="24"/>
        <v>0 / 30</v>
      </c>
      <c r="P251" s="245">
        <v>0</v>
      </c>
      <c r="Q251" s="28"/>
      <c r="R251" s="246">
        <v>0</v>
      </c>
      <c r="S251" s="28" t="str">
        <f>CONCATENATE(SUMIF($E$6:$E251,E251,$R$6:$R$370)," / ",SUMIF($E$6:$E$370,E251,$R$6:$R$370))</f>
        <v>0 / 0</v>
      </c>
      <c r="T251" s="28" t="str">
        <f>CONCATENATE(SUMIF($F$6:$F251,$F251,$R$6:$R$370)," / ",SUMIF($F$6:$F$370,$F251,$R$6:$R$370))</f>
        <v>0 / 0</v>
      </c>
      <c r="U251" s="28" t="str">
        <f>CONCATENATE(SUM($R$6:$R251)," / ",SUM($R$6:$R$370))</f>
        <v>0 / 0</v>
      </c>
    </row>
    <row r="252" spans="2:21" ht="13" thickBot="1">
      <c r="B252" s="28"/>
      <c r="C252" s="237">
        <f t="shared" si="25"/>
        <v>42616</v>
      </c>
      <c r="D252" s="35" t="str">
        <f t="shared" si="26"/>
        <v>samedi</v>
      </c>
      <c r="E252" s="124">
        <f t="shared" si="22"/>
        <v>36</v>
      </c>
      <c r="F252" s="124">
        <f t="shared" si="23"/>
        <v>9</v>
      </c>
      <c r="G252" s="27"/>
      <c r="H252" s="28" t="str">
        <f>CONCATENATE(SUMIF($E$6:$E252,$E252,$K$6:$K$370)," / ",SUMIF($E$6:$E$370,$E252,$K$6:$K616))</f>
        <v>0 / 0</v>
      </c>
      <c r="I252" s="28" t="str">
        <f>CONCATENATE(SUMIF($F$6:$F252,$F252,$K$6:$K616)," / ",SUMIF($F$6:$F$370,$F252,$K$6:$K616))</f>
        <v>0 / 0</v>
      </c>
      <c r="J252" s="28" t="str">
        <f>CONCATENATE(SUM($K$6:$K252)," / ",SUM($K$6:$K$370))</f>
        <v>180,895 / 180,895</v>
      </c>
      <c r="K252" s="245">
        <v>0</v>
      </c>
      <c r="L252" s="28"/>
      <c r="M252" s="28" t="str">
        <f>CONCATENATE(SUMIF($E$6:$E252,$E252,$P$6:$P$370)," / ",SUMIF($E$6:$E$370,$E252,$P$6:$P$370))</f>
        <v>0 / 0</v>
      </c>
      <c r="N252" s="28" t="str">
        <f ca="1">CONCATENATE(SUMIF($F$6:$F252,$F252,$P252)," / ",SUMIF($F$6:$F$370,$F252,$P$6:$P$370))</f>
        <v>0 / 0</v>
      </c>
      <c r="O252" s="28" t="str">
        <f t="shared" si="24"/>
        <v>0 / 30</v>
      </c>
      <c r="P252" s="245">
        <v>0</v>
      </c>
      <c r="Q252" s="28"/>
      <c r="R252" s="246">
        <v>0</v>
      </c>
      <c r="S252" s="28" t="str">
        <f>CONCATENATE(SUMIF($E$6:$E252,E252,$R$6:$R$370)," / ",SUMIF($E$6:$E$370,E252,$R$6:$R$370))</f>
        <v>0 / 0</v>
      </c>
      <c r="T252" s="28" t="str">
        <f>CONCATENATE(SUMIF($F$6:$F252,$F252,$R$6:$R$370)," / ",SUMIF($F$6:$F$370,$F252,$R$6:$R$370))</f>
        <v>0 / 0</v>
      </c>
      <c r="U252" s="28" t="str">
        <f>CONCATENATE(SUM($R$6:$R252)," / ",SUM($R$6:$R$370))</f>
        <v>0 / 0</v>
      </c>
    </row>
    <row r="253" spans="2:21" ht="13" thickBot="1">
      <c r="B253" s="28"/>
      <c r="C253" s="237">
        <f t="shared" si="25"/>
        <v>42617</v>
      </c>
      <c r="D253" s="35" t="str">
        <f t="shared" si="26"/>
        <v>Dimanche</v>
      </c>
      <c r="E253" s="124">
        <f t="shared" si="22"/>
        <v>37</v>
      </c>
      <c r="F253" s="124">
        <f t="shared" si="23"/>
        <v>9</v>
      </c>
      <c r="G253" s="27"/>
      <c r="H253" s="28" t="str">
        <f>CONCATENATE(SUMIF($E$6:$E253,$E253,$K$6:$K$370)," / ",SUMIF($E$6:$E$370,$E253,$K$6:$K617))</f>
        <v>0 / 0</v>
      </c>
      <c r="I253" s="28" t="str">
        <f>CONCATENATE(SUMIF($F$6:$F253,$F253,$K$6:$K617)," / ",SUMIF($F$6:$F$370,$F253,$K$6:$K617))</f>
        <v>0 / 0</v>
      </c>
      <c r="J253" s="28" t="str">
        <f>CONCATENATE(SUM($K$6:$K253)," / ",SUM($K$6:$K$370))</f>
        <v>180,895 / 180,895</v>
      </c>
      <c r="K253" s="245">
        <v>0</v>
      </c>
      <c r="L253" s="28"/>
      <c r="M253" s="28" t="str">
        <f>CONCATENATE(SUMIF($E$6:$E253,$E253,$P$6:$P$370)," / ",SUMIF($E$6:$E$370,$E253,$P$6:$P$370))</f>
        <v>0 / 0</v>
      </c>
      <c r="N253" s="28" t="str">
        <f ca="1">CONCATENATE(SUMIF($F$6:$F253,$F253,$P253)," / ",SUMIF($F$6:$F$370,$F253,$P$6:$P$370))</f>
        <v>0 / 0</v>
      </c>
      <c r="O253" s="28" t="str">
        <f t="shared" si="24"/>
        <v>0 / 30</v>
      </c>
      <c r="P253" s="245">
        <v>0</v>
      </c>
      <c r="Q253" s="28"/>
      <c r="R253" s="246">
        <v>0</v>
      </c>
      <c r="S253" s="28" t="str">
        <f>CONCATENATE(SUMIF($E$6:$E253,E253,$R$6:$R$370)," / ",SUMIF($E$6:$E$370,E253,$R$6:$R$370))</f>
        <v>0 / 0</v>
      </c>
      <c r="T253" s="28" t="str">
        <f>CONCATENATE(SUMIF($F$6:$F253,$F253,$R$6:$R$370)," / ",SUMIF($F$6:$F$370,$F253,$R$6:$R$370))</f>
        <v>0 / 0</v>
      </c>
      <c r="U253" s="28" t="str">
        <f>CONCATENATE(SUM($R$6:$R253)," / ",SUM($R$6:$R$370))</f>
        <v>0 / 0</v>
      </c>
    </row>
    <row r="254" spans="2:21" ht="13" thickBot="1">
      <c r="B254" s="28"/>
      <c r="C254" s="237">
        <f t="shared" si="25"/>
        <v>42618</v>
      </c>
      <c r="D254" s="35" t="str">
        <f t="shared" si="26"/>
        <v>Lundi</v>
      </c>
      <c r="E254" s="124">
        <f t="shared" si="22"/>
        <v>37</v>
      </c>
      <c r="F254" s="124">
        <f t="shared" si="23"/>
        <v>9</v>
      </c>
      <c r="G254" s="27"/>
      <c r="H254" s="28" t="str">
        <f>CONCATENATE(SUMIF($E$6:$E254,$E254,$K$6:$K$370)," / ",SUMIF($E$6:$E$370,$E254,$K$6:$K618))</f>
        <v>0 / 0</v>
      </c>
      <c r="I254" s="28" t="str">
        <f>CONCATENATE(SUMIF($F$6:$F254,$F254,$K$6:$K618)," / ",SUMIF($F$6:$F$370,$F254,$K$6:$K618))</f>
        <v>0 / 0</v>
      </c>
      <c r="J254" s="28" t="str">
        <f>CONCATENATE(SUM($K$6:$K254)," / ",SUM($K$6:$K$370))</f>
        <v>180,895 / 180,895</v>
      </c>
      <c r="K254" s="245">
        <v>0</v>
      </c>
      <c r="L254" s="28"/>
      <c r="M254" s="28" t="str">
        <f>CONCATENATE(SUMIF($E$6:$E254,$E254,$P$6:$P$370)," / ",SUMIF($E$6:$E$370,$E254,$P$6:$P$370))</f>
        <v>0 / 0</v>
      </c>
      <c r="N254" s="28" t="str">
        <f ca="1">CONCATENATE(SUMIF($F$6:$F254,$F254,$P254)," / ",SUMIF($F$6:$F$370,$F254,$P$6:$P$370))</f>
        <v>0 / 0</v>
      </c>
      <c r="O254" s="28" t="str">
        <f t="shared" si="24"/>
        <v>0 / 30</v>
      </c>
      <c r="P254" s="245">
        <v>0</v>
      </c>
      <c r="Q254" s="28"/>
      <c r="R254" s="246">
        <v>0</v>
      </c>
      <c r="S254" s="28" t="str">
        <f>CONCATENATE(SUMIF($E$6:$E254,E254,$R$6:$R$370)," / ",SUMIF($E$6:$E$370,E254,$R$6:$R$370))</f>
        <v>0 / 0</v>
      </c>
      <c r="T254" s="28" t="str">
        <f>CONCATENATE(SUMIF($F$6:$F254,$F254,$R$6:$R$370)," / ",SUMIF($F$6:$F$370,$F254,$R$6:$R$370))</f>
        <v>0 / 0</v>
      </c>
      <c r="U254" s="28" t="str">
        <f>CONCATENATE(SUM($R$6:$R254)," / ",SUM($R$6:$R$370))</f>
        <v>0 / 0</v>
      </c>
    </row>
    <row r="255" spans="2:21" ht="13" thickBot="1">
      <c r="B255" s="28"/>
      <c r="C255" s="237">
        <f t="shared" si="25"/>
        <v>42619</v>
      </c>
      <c r="D255" s="35" t="str">
        <f t="shared" si="26"/>
        <v>Mardi</v>
      </c>
      <c r="E255" s="124">
        <f t="shared" si="22"/>
        <v>37</v>
      </c>
      <c r="F255" s="124">
        <f t="shared" si="23"/>
        <v>9</v>
      </c>
      <c r="G255" s="27"/>
      <c r="H255" s="28" t="str">
        <f>CONCATENATE(SUMIF($E$6:$E255,$E255,$K$6:$K$370)," / ",SUMIF($E$6:$E$370,$E255,$K$6:$K619))</f>
        <v>0 / 0</v>
      </c>
      <c r="I255" s="28" t="str">
        <f>CONCATENATE(SUMIF($F$6:$F255,$F255,$K$6:$K619)," / ",SUMIF($F$6:$F$370,$F255,$K$6:$K619))</f>
        <v>0 / 0</v>
      </c>
      <c r="J255" s="28" t="str">
        <f>CONCATENATE(SUM($K$6:$K255)," / ",SUM($K$6:$K$370))</f>
        <v>180,895 / 180,895</v>
      </c>
      <c r="K255" s="245">
        <v>0</v>
      </c>
      <c r="L255" s="28"/>
      <c r="M255" s="28" t="str">
        <f>CONCATENATE(SUMIF($E$6:$E255,$E255,$P$6:$P$370)," / ",SUMIF($E$6:$E$370,$E255,$P$6:$P$370))</f>
        <v>0 / 0</v>
      </c>
      <c r="N255" s="28" t="str">
        <f ca="1">CONCATENATE(SUMIF($F$6:$F255,$F255,$P255)," / ",SUMIF($F$6:$F$370,$F255,$P$6:$P$370))</f>
        <v>0 / 0</v>
      </c>
      <c r="O255" s="28" t="str">
        <f t="shared" si="24"/>
        <v>0 / 30</v>
      </c>
      <c r="P255" s="245">
        <v>0</v>
      </c>
      <c r="Q255" s="28"/>
      <c r="R255" s="246">
        <v>0</v>
      </c>
      <c r="S255" s="28" t="str">
        <f>CONCATENATE(SUMIF($E$6:$E255,E255,$R$6:$R$370)," / ",SUMIF($E$6:$E$370,E255,$R$6:$R$370))</f>
        <v>0 / 0</v>
      </c>
      <c r="T255" s="28" t="str">
        <f>CONCATENATE(SUMIF($F$6:$F255,$F255,$R$6:$R$370)," / ",SUMIF($F$6:$F$370,$F255,$R$6:$R$370))</f>
        <v>0 / 0</v>
      </c>
      <c r="U255" s="28" t="str">
        <f>CONCATENATE(SUM($R$6:$R255)," / ",SUM($R$6:$R$370))</f>
        <v>0 / 0</v>
      </c>
    </row>
    <row r="256" spans="2:21" ht="13" thickBot="1">
      <c r="B256" s="28"/>
      <c r="C256" s="237">
        <f t="shared" si="25"/>
        <v>42620</v>
      </c>
      <c r="D256" s="35" t="str">
        <f t="shared" si="26"/>
        <v>Mercredi</v>
      </c>
      <c r="E256" s="124">
        <f t="shared" si="22"/>
        <v>37</v>
      </c>
      <c r="F256" s="124">
        <f t="shared" si="23"/>
        <v>9</v>
      </c>
      <c r="G256" s="27"/>
      <c r="H256" s="28" t="str">
        <f>CONCATENATE(SUMIF($E$6:$E256,$E256,$K$6:$K$370)," / ",SUMIF($E$6:$E$370,$E256,$K$6:$K620))</f>
        <v>0 / 0</v>
      </c>
      <c r="I256" s="28" t="str">
        <f>CONCATENATE(SUMIF($F$6:$F256,$F256,$K$6:$K620)," / ",SUMIF($F$6:$F$370,$F256,$K$6:$K620))</f>
        <v>0 / 0</v>
      </c>
      <c r="J256" s="28" t="str">
        <f>CONCATENATE(SUM($K$6:$K256)," / ",SUM($K$6:$K$370))</f>
        <v>180,895 / 180,895</v>
      </c>
      <c r="K256" s="245">
        <v>0</v>
      </c>
      <c r="L256" s="28"/>
      <c r="M256" s="28" t="str">
        <f>CONCATENATE(SUMIF($E$6:$E256,$E256,$P$6:$P$370)," / ",SUMIF($E$6:$E$370,$E256,$P$6:$P$370))</f>
        <v>0 / 0</v>
      </c>
      <c r="N256" s="28" t="str">
        <f ca="1">CONCATENATE(SUMIF($F$6:$F256,$F256,$P256)," / ",SUMIF($F$6:$F$370,$F256,$P$6:$P$370))</f>
        <v>0 / 0</v>
      </c>
      <c r="O256" s="28" t="str">
        <f t="shared" si="24"/>
        <v>0 / 30</v>
      </c>
      <c r="P256" s="245">
        <v>0</v>
      </c>
      <c r="Q256" s="28"/>
      <c r="R256" s="246">
        <v>0</v>
      </c>
      <c r="S256" s="28" t="str">
        <f>CONCATENATE(SUMIF($E$6:$E256,E256,$R$6:$R$370)," / ",SUMIF($E$6:$E$370,E256,$R$6:$R$370))</f>
        <v>0 / 0</v>
      </c>
      <c r="T256" s="28" t="str">
        <f>CONCATENATE(SUMIF($F$6:$F256,$F256,$R$6:$R$370)," / ",SUMIF($F$6:$F$370,$F256,$R$6:$R$370))</f>
        <v>0 / 0</v>
      </c>
      <c r="U256" s="28" t="str">
        <f>CONCATENATE(SUM($R$6:$R256)," / ",SUM($R$6:$R$370))</f>
        <v>0 / 0</v>
      </c>
    </row>
    <row r="257" spans="2:21" ht="13" thickBot="1">
      <c r="B257" s="28"/>
      <c r="C257" s="237">
        <f t="shared" si="25"/>
        <v>42621</v>
      </c>
      <c r="D257" s="35" t="str">
        <f t="shared" si="26"/>
        <v>Jeudi</v>
      </c>
      <c r="E257" s="124">
        <f t="shared" si="22"/>
        <v>37</v>
      </c>
      <c r="F257" s="124">
        <f t="shared" si="23"/>
        <v>9</v>
      </c>
      <c r="G257" s="27"/>
      <c r="H257" s="28" t="str">
        <f>CONCATENATE(SUMIF($E$6:$E257,$E257,$K$6:$K$370)," / ",SUMIF($E$6:$E$370,$E257,$K$6:$K621))</f>
        <v>0 / 0</v>
      </c>
      <c r="I257" s="28" t="str">
        <f>CONCATENATE(SUMIF($F$6:$F257,$F257,$K$6:$K621)," / ",SUMIF($F$6:$F$370,$F257,$K$6:$K621))</f>
        <v>0 / 0</v>
      </c>
      <c r="J257" s="28" t="str">
        <f>CONCATENATE(SUM($K$6:$K257)," / ",SUM($K$6:$K$370))</f>
        <v>180,895 / 180,895</v>
      </c>
      <c r="K257" s="245">
        <v>0</v>
      </c>
      <c r="L257" s="28"/>
      <c r="M257" s="28" t="str">
        <f>CONCATENATE(SUMIF($E$6:$E257,$E257,$P$6:$P$370)," / ",SUMIF($E$6:$E$370,$E257,$P$6:$P$370))</f>
        <v>0 / 0</v>
      </c>
      <c r="N257" s="28" t="str">
        <f ca="1">CONCATENATE(SUMIF($F$6:$F257,$F257,$P257)," / ",SUMIF($F$6:$F$370,$F257,$P$6:$P$370))</f>
        <v>0 / 0</v>
      </c>
      <c r="O257" s="28" t="str">
        <f t="shared" si="24"/>
        <v>0 / 30</v>
      </c>
      <c r="P257" s="245">
        <v>0</v>
      </c>
      <c r="Q257" s="28"/>
      <c r="R257" s="246">
        <v>0</v>
      </c>
      <c r="S257" s="28" t="str">
        <f>CONCATENATE(SUMIF($E$6:$E257,E257,$R$6:$R$370)," / ",SUMIF($E$6:$E$370,E257,$R$6:$R$370))</f>
        <v>0 / 0</v>
      </c>
      <c r="T257" s="28" t="str">
        <f>CONCATENATE(SUMIF($F$6:$F257,$F257,$R$6:$R$370)," / ",SUMIF($F$6:$F$370,$F257,$R$6:$R$370))</f>
        <v>0 / 0</v>
      </c>
      <c r="U257" s="28" t="str">
        <f>CONCATENATE(SUM($R$6:$R257)," / ",SUM($R$6:$R$370))</f>
        <v>0 / 0</v>
      </c>
    </row>
    <row r="258" spans="2:21" ht="13" thickBot="1">
      <c r="B258" s="28"/>
      <c r="C258" s="237">
        <f t="shared" si="25"/>
        <v>42622</v>
      </c>
      <c r="D258" s="35" t="str">
        <f t="shared" si="26"/>
        <v>Vendredi</v>
      </c>
      <c r="E258" s="124">
        <f t="shared" si="22"/>
        <v>37</v>
      </c>
      <c r="F258" s="124">
        <f t="shared" si="23"/>
        <v>9</v>
      </c>
      <c r="G258" s="27"/>
      <c r="H258" s="28" t="str">
        <f>CONCATENATE(SUMIF($E$6:$E258,$E258,$K$6:$K$370)," / ",SUMIF($E$6:$E$370,$E258,$K$6:$K622))</f>
        <v>0 / 0</v>
      </c>
      <c r="I258" s="28" t="str">
        <f>CONCATENATE(SUMIF($F$6:$F258,$F258,$K$6:$K622)," / ",SUMIF($F$6:$F$370,$F258,$K$6:$K622))</f>
        <v>0 / 0</v>
      </c>
      <c r="J258" s="28" t="str">
        <f>CONCATENATE(SUM($K$6:$K258)," / ",SUM($K$6:$K$370))</f>
        <v>180,895 / 180,895</v>
      </c>
      <c r="K258" s="245">
        <v>0</v>
      </c>
      <c r="L258" s="28"/>
      <c r="M258" s="28" t="str">
        <f>CONCATENATE(SUMIF($E$6:$E258,$E258,$P$6:$P$370)," / ",SUMIF($E$6:$E$370,$E258,$P$6:$P$370))</f>
        <v>0 / 0</v>
      </c>
      <c r="N258" s="28" t="str">
        <f ca="1">CONCATENATE(SUMIF($F$6:$F258,$F258,$P258)," / ",SUMIF($F$6:$F$370,$F258,$P$6:$P$370))</f>
        <v>0 / 0</v>
      </c>
      <c r="O258" s="28" t="str">
        <f t="shared" si="24"/>
        <v>0 / 30</v>
      </c>
      <c r="P258" s="245">
        <v>0</v>
      </c>
      <c r="Q258" s="28"/>
      <c r="R258" s="246">
        <v>0</v>
      </c>
      <c r="S258" s="28" t="str">
        <f>CONCATENATE(SUMIF($E$6:$E258,E258,$R$6:$R$370)," / ",SUMIF($E$6:$E$370,E258,$R$6:$R$370))</f>
        <v>0 / 0</v>
      </c>
      <c r="T258" s="28" t="str">
        <f>CONCATENATE(SUMIF($F$6:$F258,$F258,$R$6:$R$370)," / ",SUMIF($F$6:$F$370,$F258,$R$6:$R$370))</f>
        <v>0 / 0</v>
      </c>
      <c r="U258" s="28" t="str">
        <f>CONCATENATE(SUM($R$6:$R258)," / ",SUM($R$6:$R$370))</f>
        <v>0 / 0</v>
      </c>
    </row>
    <row r="259" spans="2:21" ht="13" thickBot="1">
      <c r="B259" s="28"/>
      <c r="C259" s="237">
        <f t="shared" si="25"/>
        <v>42623</v>
      </c>
      <c r="D259" s="35" t="str">
        <f t="shared" si="26"/>
        <v>samedi</v>
      </c>
      <c r="E259" s="124">
        <f t="shared" si="22"/>
        <v>37</v>
      </c>
      <c r="F259" s="124">
        <f t="shared" si="23"/>
        <v>9</v>
      </c>
      <c r="G259" s="27"/>
      <c r="H259" s="28" t="str">
        <f>CONCATENATE(SUMIF($E$6:$E259,$E259,$K$6:$K$370)," / ",SUMIF($E$6:$E$370,$E259,$K$6:$K623))</f>
        <v>0 / 0</v>
      </c>
      <c r="I259" s="28" t="str">
        <f>CONCATENATE(SUMIF($F$6:$F259,$F259,$K$6:$K623)," / ",SUMIF($F$6:$F$370,$F259,$K$6:$K623))</f>
        <v>0 / 0</v>
      </c>
      <c r="J259" s="28" t="str">
        <f>CONCATENATE(SUM($K$6:$K259)," / ",SUM($K$6:$K$370))</f>
        <v>180,895 / 180,895</v>
      </c>
      <c r="K259" s="245">
        <v>0</v>
      </c>
      <c r="L259" s="28"/>
      <c r="M259" s="28" t="str">
        <f>CONCATENATE(SUMIF($E$6:$E259,$E259,$P$6:$P$370)," / ",SUMIF($E$6:$E$370,$E259,$P$6:$P$370))</f>
        <v>0 / 0</v>
      </c>
      <c r="N259" s="28" t="str">
        <f ca="1">CONCATENATE(SUMIF($F$6:$F259,$F259,$P259)," / ",SUMIF($F$6:$F$370,$F259,$P$6:$P$370))</f>
        <v>0 / 0</v>
      </c>
      <c r="O259" s="28" t="str">
        <f t="shared" si="24"/>
        <v>0 / 30</v>
      </c>
      <c r="P259" s="245">
        <v>0</v>
      </c>
      <c r="Q259" s="28"/>
      <c r="R259" s="246">
        <v>0</v>
      </c>
      <c r="S259" s="28" t="str">
        <f>CONCATENATE(SUMIF($E$6:$E259,E259,$R$6:$R$370)," / ",SUMIF($E$6:$E$370,E259,$R$6:$R$370))</f>
        <v>0 / 0</v>
      </c>
      <c r="T259" s="28" t="str">
        <f>CONCATENATE(SUMIF($F$6:$F259,$F259,$R$6:$R$370)," / ",SUMIF($F$6:$F$370,$F259,$R$6:$R$370))</f>
        <v>0 / 0</v>
      </c>
      <c r="U259" s="28" t="str">
        <f>CONCATENATE(SUM($R$6:$R259)," / ",SUM($R$6:$R$370))</f>
        <v>0 / 0</v>
      </c>
    </row>
    <row r="260" spans="2:21" ht="13" thickBot="1">
      <c r="B260" s="28"/>
      <c r="C260" s="237">
        <f t="shared" si="25"/>
        <v>42624</v>
      </c>
      <c r="D260" s="35" t="str">
        <f t="shared" si="26"/>
        <v>Dimanche</v>
      </c>
      <c r="E260" s="124">
        <f t="shared" si="22"/>
        <v>38</v>
      </c>
      <c r="F260" s="124">
        <f t="shared" si="23"/>
        <v>9</v>
      </c>
      <c r="G260" s="27"/>
      <c r="H260" s="28" t="str">
        <f>CONCATENATE(SUMIF($E$6:$E260,$E260,$K$6:$K$370)," / ",SUMIF($E$6:$E$370,$E260,$K$6:$K624))</f>
        <v>0 / 0</v>
      </c>
      <c r="I260" s="28" t="str">
        <f>CONCATENATE(SUMIF($F$6:$F260,$F260,$K$6:$K624)," / ",SUMIF($F$6:$F$370,$F260,$K$6:$K624))</f>
        <v>0 / 0</v>
      </c>
      <c r="J260" s="28" t="str">
        <f>CONCATENATE(SUM($K$6:$K260)," / ",SUM($K$6:$K$370))</f>
        <v>180,895 / 180,895</v>
      </c>
      <c r="K260" s="245">
        <v>0</v>
      </c>
      <c r="L260" s="28"/>
      <c r="M260" s="28" t="str">
        <f>CONCATENATE(SUMIF($E$6:$E260,$E260,$P$6:$P$370)," / ",SUMIF($E$6:$E$370,$E260,$P$6:$P$370))</f>
        <v>0 / 0</v>
      </c>
      <c r="N260" s="28" t="str">
        <f ca="1">CONCATENATE(SUMIF($F$6:$F260,$F260,$P260)," / ",SUMIF($F$6:$F$370,$F260,$P$6:$P$370))</f>
        <v>0 / 0</v>
      </c>
      <c r="O260" s="28" t="str">
        <f t="shared" si="24"/>
        <v>0 / 30</v>
      </c>
      <c r="P260" s="245">
        <v>0</v>
      </c>
      <c r="Q260" s="28"/>
      <c r="R260" s="246">
        <v>0</v>
      </c>
      <c r="S260" s="28" t="str">
        <f>CONCATENATE(SUMIF($E$6:$E260,E260,$R$6:$R$370)," / ",SUMIF($E$6:$E$370,E260,$R$6:$R$370))</f>
        <v>0 / 0</v>
      </c>
      <c r="T260" s="28" t="str">
        <f>CONCATENATE(SUMIF($F$6:$F260,$F260,$R$6:$R$370)," / ",SUMIF($F$6:$F$370,$F260,$R$6:$R$370))</f>
        <v>0 / 0</v>
      </c>
      <c r="U260" s="28" t="str">
        <f>CONCATENATE(SUM($R$6:$R260)," / ",SUM($R$6:$R$370))</f>
        <v>0 / 0</v>
      </c>
    </row>
    <row r="261" spans="2:21" ht="13" thickBot="1">
      <c r="B261" s="28"/>
      <c r="C261" s="237">
        <f t="shared" si="25"/>
        <v>42625</v>
      </c>
      <c r="D261" s="35" t="str">
        <f t="shared" si="26"/>
        <v>Lundi</v>
      </c>
      <c r="E261" s="124">
        <f t="shared" si="22"/>
        <v>38</v>
      </c>
      <c r="F261" s="124">
        <f t="shared" si="23"/>
        <v>9</v>
      </c>
      <c r="G261" s="27"/>
      <c r="H261" s="28" t="str">
        <f>CONCATENATE(SUMIF($E$6:$E261,$E261,$K$6:$K$370)," / ",SUMIF($E$6:$E$370,$E261,$K$6:$K625))</f>
        <v>0 / 0</v>
      </c>
      <c r="I261" s="28" t="str">
        <f>CONCATENATE(SUMIF($F$6:$F261,$F261,$K$6:$K625)," / ",SUMIF($F$6:$F$370,$F261,$K$6:$K625))</f>
        <v>0 / 0</v>
      </c>
      <c r="J261" s="28" t="str">
        <f>CONCATENATE(SUM($K$6:$K261)," / ",SUM($K$6:$K$370))</f>
        <v>180,895 / 180,895</v>
      </c>
      <c r="K261" s="245">
        <v>0</v>
      </c>
      <c r="L261" s="28"/>
      <c r="M261" s="28" t="str">
        <f>CONCATENATE(SUMIF($E$6:$E261,$E261,$P$6:$P$370)," / ",SUMIF($E$6:$E$370,$E261,$P$6:$P$370))</f>
        <v>0 / 0</v>
      </c>
      <c r="N261" s="28" t="str">
        <f ca="1">CONCATENATE(SUMIF($F$6:$F261,$F261,$P261)," / ",SUMIF($F$6:$F$370,$F261,$P$6:$P$370))</f>
        <v>0 / 0</v>
      </c>
      <c r="O261" s="28" t="str">
        <f t="shared" si="24"/>
        <v>0 / 30</v>
      </c>
      <c r="P261" s="245">
        <v>0</v>
      </c>
      <c r="Q261" s="28"/>
      <c r="R261" s="246">
        <v>0</v>
      </c>
      <c r="S261" s="28" t="str">
        <f>CONCATENATE(SUMIF($E$6:$E261,E261,$R$6:$R$370)," / ",SUMIF($E$6:$E$370,E261,$R$6:$R$370))</f>
        <v>0 / 0</v>
      </c>
      <c r="T261" s="28" t="str">
        <f>CONCATENATE(SUMIF($F$6:$F261,$F261,$R$6:$R$370)," / ",SUMIF($F$6:$F$370,$F261,$R$6:$R$370))</f>
        <v>0 / 0</v>
      </c>
      <c r="U261" s="28" t="str">
        <f>CONCATENATE(SUM($R$6:$R261)," / ",SUM($R$6:$R$370))</f>
        <v>0 / 0</v>
      </c>
    </row>
    <row r="262" spans="2:21" ht="13" thickBot="1">
      <c r="B262" s="28"/>
      <c r="C262" s="237">
        <f t="shared" si="25"/>
        <v>42626</v>
      </c>
      <c r="D262" s="35" t="str">
        <f t="shared" si="26"/>
        <v>Mardi</v>
      </c>
      <c r="E262" s="124">
        <f t="shared" si="22"/>
        <v>38</v>
      </c>
      <c r="F262" s="124">
        <f t="shared" si="23"/>
        <v>9</v>
      </c>
      <c r="G262" s="27"/>
      <c r="H262" s="28" t="str">
        <f>CONCATENATE(SUMIF($E$6:$E262,$E262,$K$6:$K$370)," / ",SUMIF($E$6:$E$370,$E262,$K$6:$K626))</f>
        <v>0 / 0</v>
      </c>
      <c r="I262" s="28" t="str">
        <f>CONCATENATE(SUMIF($F$6:$F262,$F262,$K$6:$K626)," / ",SUMIF($F$6:$F$370,$F262,$K$6:$K626))</f>
        <v>0 / 0</v>
      </c>
      <c r="J262" s="28" t="str">
        <f>CONCATENATE(SUM($K$6:$K262)," / ",SUM($K$6:$K$370))</f>
        <v>180,895 / 180,895</v>
      </c>
      <c r="K262" s="245">
        <v>0</v>
      </c>
      <c r="L262" s="28"/>
      <c r="M262" s="28" t="str">
        <f>CONCATENATE(SUMIF($E$6:$E262,$E262,$P$6:$P$370)," / ",SUMIF($E$6:$E$370,$E262,$P$6:$P$370))</f>
        <v>0 / 0</v>
      </c>
      <c r="N262" s="28" t="str">
        <f ca="1">CONCATENATE(SUMIF($F$6:$F262,$F262,$P262)," / ",SUMIF($F$6:$F$370,$F262,$P$6:$P$370))</f>
        <v>0 / 0</v>
      </c>
      <c r="O262" s="28" t="str">
        <f t="shared" si="24"/>
        <v>0 / 30</v>
      </c>
      <c r="P262" s="245">
        <v>0</v>
      </c>
      <c r="Q262" s="28"/>
      <c r="R262" s="246">
        <v>0</v>
      </c>
      <c r="S262" s="28" t="str">
        <f>CONCATENATE(SUMIF($E$6:$E262,E262,$R$6:$R$370)," / ",SUMIF($E$6:$E$370,E262,$R$6:$R$370))</f>
        <v>0 / 0</v>
      </c>
      <c r="T262" s="28" t="str">
        <f>CONCATENATE(SUMIF($F$6:$F262,$F262,$R$6:$R$370)," / ",SUMIF($F$6:$F$370,$F262,$R$6:$R$370))</f>
        <v>0 / 0</v>
      </c>
      <c r="U262" s="28" t="str">
        <f>CONCATENATE(SUM($R$6:$R262)," / ",SUM($R$6:$R$370))</f>
        <v>0 / 0</v>
      </c>
    </row>
    <row r="263" spans="2:21" ht="13" thickBot="1">
      <c r="B263" s="28"/>
      <c r="C263" s="237">
        <f t="shared" si="25"/>
        <v>42627</v>
      </c>
      <c r="D263" s="35" t="str">
        <f t="shared" si="26"/>
        <v>Mercredi</v>
      </c>
      <c r="E263" s="124">
        <f t="shared" ref="E263:E326" si="27">WEEKNUM($C263)</f>
        <v>38</v>
      </c>
      <c r="F263" s="124">
        <f t="shared" ref="F263:F326" si="28">MONTH(C263)</f>
        <v>9</v>
      </c>
      <c r="G263" s="27"/>
      <c r="H263" s="28" t="str">
        <f>CONCATENATE(SUMIF($E$6:$E263,$E263,$K$6:$K$370)," / ",SUMIF($E$6:$E$370,$E263,$K$6:$K627))</f>
        <v>0 / 0</v>
      </c>
      <c r="I263" s="28" t="str">
        <f>CONCATENATE(SUMIF($F$6:$F263,$F263,$K$6:$K627)," / ",SUMIF($F$6:$F$370,$F263,$K$6:$K627))</f>
        <v>0 / 0</v>
      </c>
      <c r="J263" s="28" t="str">
        <f>CONCATENATE(SUM($K$6:$K263)," / ",SUM($K$6:$K$370))</f>
        <v>180,895 / 180,895</v>
      </c>
      <c r="K263" s="245">
        <v>0</v>
      </c>
      <c r="L263" s="28"/>
      <c r="M263" s="28" t="str">
        <f>CONCATENATE(SUMIF($E$6:$E263,$E263,$P$6:$P$370)," / ",SUMIF($E$6:$E$370,$E263,$P$6:$P$370))</f>
        <v>0 / 0</v>
      </c>
      <c r="N263" s="28" t="str">
        <f ca="1">CONCATENATE(SUMIF($F$6:$F263,$F263,$P263)," / ",SUMIF($F$6:$F$370,$F263,$P$6:$P$370))</f>
        <v>0 / 0</v>
      </c>
      <c r="O263" s="28" t="str">
        <f t="shared" ref="O263:O326" si="29">CONCATENATE(SUM($P263)," / ",SUM($P$6:$P$370))</f>
        <v>0 / 30</v>
      </c>
      <c r="P263" s="245">
        <v>0</v>
      </c>
      <c r="Q263" s="28"/>
      <c r="R263" s="246">
        <v>0</v>
      </c>
      <c r="S263" s="28" t="str">
        <f>CONCATENATE(SUMIF($E$6:$E263,E263,$R$6:$R$370)," / ",SUMIF($E$6:$E$370,E263,$R$6:$R$370))</f>
        <v>0 / 0</v>
      </c>
      <c r="T263" s="28" t="str">
        <f>CONCATENATE(SUMIF($F$6:$F263,$F263,$R$6:$R$370)," / ",SUMIF($F$6:$F$370,$F263,$R$6:$R$370))</f>
        <v>0 / 0</v>
      </c>
      <c r="U263" s="28" t="str">
        <f>CONCATENATE(SUM($R$6:$R263)," / ",SUM($R$6:$R$370))</f>
        <v>0 / 0</v>
      </c>
    </row>
    <row r="264" spans="2:21" ht="13" thickBot="1">
      <c r="B264" s="28"/>
      <c r="C264" s="237">
        <f t="shared" ref="C264:C327" si="30">C263+1</f>
        <v>42628</v>
      </c>
      <c r="D264" s="35" t="str">
        <f t="shared" si="26"/>
        <v>Jeudi</v>
      </c>
      <c r="E264" s="124">
        <f t="shared" si="27"/>
        <v>38</v>
      </c>
      <c r="F264" s="124">
        <f t="shared" si="28"/>
        <v>9</v>
      </c>
      <c r="G264" s="27"/>
      <c r="H264" s="28" t="str">
        <f>CONCATENATE(SUMIF($E$6:$E264,$E264,$K$6:$K$370)," / ",SUMIF($E$6:$E$370,$E264,$K$6:$K628))</f>
        <v>0 / 0</v>
      </c>
      <c r="I264" s="28" t="str">
        <f>CONCATENATE(SUMIF($F$6:$F264,$F264,$K$6:$K628)," / ",SUMIF($F$6:$F$370,$F264,$K$6:$K628))</f>
        <v>0 / 0</v>
      </c>
      <c r="J264" s="28" t="str">
        <f>CONCATENATE(SUM($K$6:$K264)," / ",SUM($K$6:$K$370))</f>
        <v>180,895 / 180,895</v>
      </c>
      <c r="K264" s="245">
        <v>0</v>
      </c>
      <c r="L264" s="28"/>
      <c r="M264" s="28" t="str">
        <f>CONCATENATE(SUMIF($E$6:$E264,$E264,$P$6:$P$370)," / ",SUMIF($E$6:$E$370,$E264,$P$6:$P$370))</f>
        <v>0 / 0</v>
      </c>
      <c r="N264" s="28" t="str">
        <f ca="1">CONCATENATE(SUMIF($F$6:$F264,$F264,$P264)," / ",SUMIF($F$6:$F$370,$F264,$P$6:$P$370))</f>
        <v>0 / 0</v>
      </c>
      <c r="O264" s="28" t="str">
        <f t="shared" si="29"/>
        <v>0 / 30</v>
      </c>
      <c r="P264" s="245">
        <v>0</v>
      </c>
      <c r="Q264" s="28"/>
      <c r="R264" s="246">
        <v>0</v>
      </c>
      <c r="S264" s="28" t="str">
        <f>CONCATENATE(SUMIF($E$6:$E264,E264,$R$6:$R$370)," / ",SUMIF($E$6:$E$370,E264,$R$6:$R$370))</f>
        <v>0 / 0</v>
      </c>
      <c r="T264" s="28" t="str">
        <f>CONCATENATE(SUMIF($F$6:$F264,$F264,$R$6:$R$370)," / ",SUMIF($F$6:$F$370,$F264,$R$6:$R$370))</f>
        <v>0 / 0</v>
      </c>
      <c r="U264" s="28" t="str">
        <f>CONCATENATE(SUM($R$6:$R264)," / ",SUM($R$6:$R$370))</f>
        <v>0 / 0</v>
      </c>
    </row>
    <row r="265" spans="2:21" ht="13" thickBot="1">
      <c r="B265" s="28"/>
      <c r="C265" s="237">
        <f t="shared" si="30"/>
        <v>42629</v>
      </c>
      <c r="D265" s="35" t="str">
        <f t="shared" si="26"/>
        <v>Vendredi</v>
      </c>
      <c r="E265" s="124">
        <f t="shared" si="27"/>
        <v>38</v>
      </c>
      <c r="F265" s="124">
        <f t="shared" si="28"/>
        <v>9</v>
      </c>
      <c r="G265" s="27"/>
      <c r="H265" s="28" t="str">
        <f>CONCATENATE(SUMIF($E$6:$E265,$E265,$K$6:$K$370)," / ",SUMIF($E$6:$E$370,$E265,$K$6:$K629))</f>
        <v>0 / 0</v>
      </c>
      <c r="I265" s="28" t="str">
        <f>CONCATENATE(SUMIF($F$6:$F265,$F265,$K$6:$K629)," / ",SUMIF($F$6:$F$370,$F265,$K$6:$K629))</f>
        <v>0 / 0</v>
      </c>
      <c r="J265" s="28" t="str">
        <f>CONCATENATE(SUM($K$6:$K265)," / ",SUM($K$6:$K$370))</f>
        <v>180,895 / 180,895</v>
      </c>
      <c r="K265" s="245">
        <v>0</v>
      </c>
      <c r="L265" s="28"/>
      <c r="M265" s="28" t="str">
        <f>CONCATENATE(SUMIF($E$6:$E265,$E265,$P$6:$P$370)," / ",SUMIF($E$6:$E$370,$E265,$P$6:$P$370))</f>
        <v>0 / 0</v>
      </c>
      <c r="N265" s="28" t="str">
        <f ca="1">CONCATENATE(SUMIF($F$6:$F265,$F265,$P265)," / ",SUMIF($F$6:$F$370,$F265,$P$6:$P$370))</f>
        <v>0 / 0</v>
      </c>
      <c r="O265" s="28" t="str">
        <f t="shared" si="29"/>
        <v>0 / 30</v>
      </c>
      <c r="P265" s="245">
        <v>0</v>
      </c>
      <c r="Q265" s="28"/>
      <c r="R265" s="246">
        <v>0</v>
      </c>
      <c r="S265" s="28" t="str">
        <f>CONCATENATE(SUMIF($E$6:$E265,E265,$R$6:$R$370)," / ",SUMIF($E$6:$E$370,E265,$R$6:$R$370))</f>
        <v>0 / 0</v>
      </c>
      <c r="T265" s="28" t="str">
        <f>CONCATENATE(SUMIF($F$6:$F265,$F265,$R$6:$R$370)," / ",SUMIF($F$6:$F$370,$F265,$R$6:$R$370))</f>
        <v>0 / 0</v>
      </c>
      <c r="U265" s="28" t="str">
        <f>CONCATENATE(SUM($R$6:$R265)," / ",SUM($R$6:$R$370))</f>
        <v>0 / 0</v>
      </c>
    </row>
    <row r="266" spans="2:21" ht="13" thickBot="1">
      <c r="B266" s="28"/>
      <c r="C266" s="237">
        <f t="shared" si="30"/>
        <v>42630</v>
      </c>
      <c r="D266" s="35" t="str">
        <f t="shared" si="26"/>
        <v>samedi</v>
      </c>
      <c r="E266" s="124">
        <f t="shared" si="27"/>
        <v>38</v>
      </c>
      <c r="F266" s="124">
        <f t="shared" si="28"/>
        <v>9</v>
      </c>
      <c r="G266" s="27"/>
      <c r="H266" s="28" t="str">
        <f>CONCATENATE(SUMIF($E$6:$E266,$E266,$K$6:$K$370)," / ",SUMIF($E$6:$E$370,$E266,$K$6:$K630))</f>
        <v>0 / 0</v>
      </c>
      <c r="I266" s="28" t="str">
        <f>CONCATENATE(SUMIF($F$6:$F266,$F266,$K$6:$K630)," / ",SUMIF($F$6:$F$370,$F266,$K$6:$K630))</f>
        <v>0 / 0</v>
      </c>
      <c r="J266" s="28" t="str">
        <f>CONCATENATE(SUM($K$6:$K266)," / ",SUM($K$6:$K$370))</f>
        <v>180,895 / 180,895</v>
      </c>
      <c r="K266" s="245">
        <v>0</v>
      </c>
      <c r="L266" s="28"/>
      <c r="M266" s="28" t="str">
        <f>CONCATENATE(SUMIF($E$6:$E266,$E266,$P$6:$P$370)," / ",SUMIF($E$6:$E$370,$E266,$P$6:$P$370))</f>
        <v>0 / 0</v>
      </c>
      <c r="N266" s="28" t="str">
        <f ca="1">CONCATENATE(SUMIF($F$6:$F266,$F266,$P266)," / ",SUMIF($F$6:$F$370,$F266,$P$6:$P$370))</f>
        <v>0 / 0</v>
      </c>
      <c r="O266" s="28" t="str">
        <f t="shared" si="29"/>
        <v>0 / 30</v>
      </c>
      <c r="P266" s="245">
        <v>0</v>
      </c>
      <c r="Q266" s="28"/>
      <c r="R266" s="246">
        <v>0</v>
      </c>
      <c r="S266" s="28" t="str">
        <f>CONCATENATE(SUMIF($E$6:$E266,E266,$R$6:$R$370)," / ",SUMIF($E$6:$E$370,E266,$R$6:$R$370))</f>
        <v>0 / 0</v>
      </c>
      <c r="T266" s="28" t="str">
        <f>CONCATENATE(SUMIF($F$6:$F266,$F266,$R$6:$R$370)," / ",SUMIF($F$6:$F$370,$F266,$R$6:$R$370))</f>
        <v>0 / 0</v>
      </c>
      <c r="U266" s="28" t="str">
        <f>CONCATENATE(SUM($R$6:$R266)," / ",SUM($R$6:$R$370))</f>
        <v>0 / 0</v>
      </c>
    </row>
    <row r="267" spans="2:21" ht="13" thickBot="1">
      <c r="B267" s="28"/>
      <c r="C267" s="237">
        <f t="shared" si="30"/>
        <v>42631</v>
      </c>
      <c r="D267" s="35" t="str">
        <f t="shared" si="26"/>
        <v>Dimanche</v>
      </c>
      <c r="E267" s="124">
        <f t="shared" si="27"/>
        <v>39</v>
      </c>
      <c r="F267" s="124">
        <f t="shared" si="28"/>
        <v>9</v>
      </c>
      <c r="G267" s="27"/>
      <c r="H267" s="28" t="str">
        <f>CONCATENATE(SUMIF($E$6:$E267,$E267,$K$6:$K$370)," / ",SUMIF($E$6:$E$370,$E267,$K$6:$K631))</f>
        <v>0 / 0</v>
      </c>
      <c r="I267" s="28" t="str">
        <f>CONCATENATE(SUMIF($F$6:$F267,$F267,$K$6:$K631)," / ",SUMIF($F$6:$F$370,$F267,$K$6:$K631))</f>
        <v>0 / 0</v>
      </c>
      <c r="J267" s="28" t="str">
        <f>CONCATENATE(SUM($K$6:$K267)," / ",SUM($K$6:$K$370))</f>
        <v>180,895 / 180,895</v>
      </c>
      <c r="K267" s="245">
        <v>0</v>
      </c>
      <c r="L267" s="28"/>
      <c r="M267" s="28" t="str">
        <f>CONCATENATE(SUMIF($E$6:$E267,$E267,$P$6:$P$370)," / ",SUMIF($E$6:$E$370,$E267,$P$6:$P$370))</f>
        <v>0 / 0</v>
      </c>
      <c r="N267" s="28" t="str">
        <f ca="1">CONCATENATE(SUMIF($F$6:$F267,$F267,$P267)," / ",SUMIF($F$6:$F$370,$F267,$P$6:$P$370))</f>
        <v>0 / 0</v>
      </c>
      <c r="O267" s="28" t="str">
        <f t="shared" si="29"/>
        <v>0 / 30</v>
      </c>
      <c r="P267" s="245">
        <v>0</v>
      </c>
      <c r="Q267" s="28"/>
      <c r="R267" s="246">
        <v>0</v>
      </c>
      <c r="S267" s="28" t="str">
        <f>CONCATENATE(SUMIF($E$6:$E267,E267,$R$6:$R$370)," / ",SUMIF($E$6:$E$370,E267,$R$6:$R$370))</f>
        <v>0 / 0</v>
      </c>
      <c r="T267" s="28" t="str">
        <f>CONCATENATE(SUMIF($F$6:$F267,$F267,$R$6:$R$370)," / ",SUMIF($F$6:$F$370,$F267,$R$6:$R$370))</f>
        <v>0 / 0</v>
      </c>
      <c r="U267" s="28" t="str">
        <f>CONCATENATE(SUM($R$6:$R267)," / ",SUM($R$6:$R$370))</f>
        <v>0 / 0</v>
      </c>
    </row>
    <row r="268" spans="2:21" ht="13" thickBot="1">
      <c r="B268" s="28"/>
      <c r="C268" s="237">
        <f t="shared" si="30"/>
        <v>42632</v>
      </c>
      <c r="D268" s="35" t="str">
        <f t="shared" si="26"/>
        <v>Lundi</v>
      </c>
      <c r="E268" s="124">
        <f t="shared" si="27"/>
        <v>39</v>
      </c>
      <c r="F268" s="124">
        <f t="shared" si="28"/>
        <v>9</v>
      </c>
      <c r="G268" s="27"/>
      <c r="H268" s="28" t="str">
        <f>CONCATENATE(SUMIF($E$6:$E268,$E268,$K$6:$K$370)," / ",SUMIF($E$6:$E$370,$E268,$K$6:$K632))</f>
        <v>0 / 0</v>
      </c>
      <c r="I268" s="28" t="str">
        <f>CONCATENATE(SUMIF($F$6:$F268,$F268,$K$6:$K632)," / ",SUMIF($F$6:$F$370,$F268,$K$6:$K632))</f>
        <v>0 / 0</v>
      </c>
      <c r="J268" s="28" t="str">
        <f>CONCATENATE(SUM($K$6:$K268)," / ",SUM($K$6:$K$370))</f>
        <v>180,895 / 180,895</v>
      </c>
      <c r="K268" s="245">
        <v>0</v>
      </c>
      <c r="L268" s="28"/>
      <c r="M268" s="28" t="str">
        <f>CONCATENATE(SUMIF($E$6:$E268,$E268,$P$6:$P$370)," / ",SUMIF($E$6:$E$370,$E268,$P$6:$P$370))</f>
        <v>0 / 0</v>
      </c>
      <c r="N268" s="28" t="str">
        <f ca="1">CONCATENATE(SUMIF($F$6:$F268,$F268,$P268)," / ",SUMIF($F$6:$F$370,$F268,$P$6:$P$370))</f>
        <v>0 / 0</v>
      </c>
      <c r="O268" s="28" t="str">
        <f t="shared" si="29"/>
        <v>0 / 30</v>
      </c>
      <c r="P268" s="245">
        <v>0</v>
      </c>
      <c r="Q268" s="28"/>
      <c r="R268" s="246">
        <v>0</v>
      </c>
      <c r="S268" s="28" t="str">
        <f>CONCATENATE(SUMIF($E$6:$E268,E268,$R$6:$R$370)," / ",SUMIF($E$6:$E$370,E268,$R$6:$R$370))</f>
        <v>0 / 0</v>
      </c>
      <c r="T268" s="28" t="str">
        <f>CONCATENATE(SUMIF($F$6:$F268,$F268,$R$6:$R$370)," / ",SUMIF($F$6:$F$370,$F268,$R$6:$R$370))</f>
        <v>0 / 0</v>
      </c>
      <c r="U268" s="28" t="str">
        <f>CONCATENATE(SUM($R$6:$R268)," / ",SUM($R$6:$R$370))</f>
        <v>0 / 0</v>
      </c>
    </row>
    <row r="269" spans="2:21" ht="13" thickBot="1">
      <c r="B269" s="28"/>
      <c r="C269" s="237">
        <f t="shared" si="30"/>
        <v>42633</v>
      </c>
      <c r="D269" s="35" t="str">
        <f t="shared" si="26"/>
        <v>Mardi</v>
      </c>
      <c r="E269" s="124">
        <f t="shared" si="27"/>
        <v>39</v>
      </c>
      <c r="F269" s="124">
        <f t="shared" si="28"/>
        <v>9</v>
      </c>
      <c r="G269" s="27"/>
      <c r="H269" s="28" t="str">
        <f>CONCATENATE(SUMIF($E$6:$E269,$E269,$K$6:$K$370)," / ",SUMIF($E$6:$E$370,$E269,$K$6:$K633))</f>
        <v>0 / 0</v>
      </c>
      <c r="I269" s="28" t="str">
        <f>CONCATENATE(SUMIF($F$6:$F269,$F269,$K$6:$K633)," / ",SUMIF($F$6:$F$370,$F269,$K$6:$K633))</f>
        <v>0 / 0</v>
      </c>
      <c r="J269" s="28" t="str">
        <f>CONCATENATE(SUM($K$6:$K269)," / ",SUM($K$6:$K$370))</f>
        <v>180,895 / 180,895</v>
      </c>
      <c r="K269" s="245">
        <v>0</v>
      </c>
      <c r="L269" s="28"/>
      <c r="M269" s="28" t="str">
        <f>CONCATENATE(SUMIF($E$6:$E269,$E269,$P$6:$P$370)," / ",SUMIF($E$6:$E$370,$E269,$P$6:$P$370))</f>
        <v>0 / 0</v>
      </c>
      <c r="N269" s="28" t="str">
        <f ca="1">CONCATENATE(SUMIF($F$6:$F269,$F269,$P269)," / ",SUMIF($F$6:$F$370,$F269,$P$6:$P$370))</f>
        <v>0 / 0</v>
      </c>
      <c r="O269" s="28" t="str">
        <f t="shared" si="29"/>
        <v>0 / 30</v>
      </c>
      <c r="P269" s="245">
        <v>0</v>
      </c>
      <c r="Q269" s="28"/>
      <c r="R269" s="246">
        <v>0</v>
      </c>
      <c r="S269" s="28" t="str">
        <f>CONCATENATE(SUMIF($E$6:$E269,E269,$R$6:$R$370)," / ",SUMIF($E$6:$E$370,E269,$R$6:$R$370))</f>
        <v>0 / 0</v>
      </c>
      <c r="T269" s="28" t="str">
        <f>CONCATENATE(SUMIF($F$6:$F269,$F269,$R$6:$R$370)," / ",SUMIF($F$6:$F$370,$F269,$R$6:$R$370))</f>
        <v>0 / 0</v>
      </c>
      <c r="U269" s="28" t="str">
        <f>CONCATENATE(SUM($R$6:$R269)," / ",SUM($R$6:$R$370))</f>
        <v>0 / 0</v>
      </c>
    </row>
    <row r="270" spans="2:21" ht="13" thickBot="1">
      <c r="B270" s="28"/>
      <c r="C270" s="237">
        <f t="shared" si="30"/>
        <v>42634</v>
      </c>
      <c r="D270" s="35" t="str">
        <f t="shared" si="26"/>
        <v>Mercredi</v>
      </c>
      <c r="E270" s="124">
        <f t="shared" si="27"/>
        <v>39</v>
      </c>
      <c r="F270" s="124">
        <f t="shared" si="28"/>
        <v>9</v>
      </c>
      <c r="G270" s="27"/>
      <c r="H270" s="28" t="str">
        <f>CONCATENATE(SUMIF($E$6:$E270,$E270,$K$6:$K$370)," / ",SUMIF($E$6:$E$370,$E270,$K$6:$K634))</f>
        <v>0 / 0</v>
      </c>
      <c r="I270" s="28" t="str">
        <f>CONCATENATE(SUMIF($F$6:$F270,$F270,$K$6:$K634)," / ",SUMIF($F$6:$F$370,$F270,$K$6:$K634))</f>
        <v>0 / 0</v>
      </c>
      <c r="J270" s="28" t="str">
        <f>CONCATENATE(SUM($K$6:$K270)," / ",SUM($K$6:$K$370))</f>
        <v>180,895 / 180,895</v>
      </c>
      <c r="K270" s="245">
        <v>0</v>
      </c>
      <c r="L270" s="28"/>
      <c r="M270" s="28" t="str">
        <f>CONCATENATE(SUMIF($E$6:$E270,$E270,$P$6:$P$370)," / ",SUMIF($E$6:$E$370,$E270,$P$6:$P$370))</f>
        <v>0 / 0</v>
      </c>
      <c r="N270" s="28" t="str">
        <f ca="1">CONCATENATE(SUMIF($F$6:$F270,$F270,$P270)," / ",SUMIF($F$6:$F$370,$F270,$P$6:$P$370))</f>
        <v>0 / 0</v>
      </c>
      <c r="O270" s="28" t="str">
        <f t="shared" si="29"/>
        <v>0 / 30</v>
      </c>
      <c r="P270" s="245">
        <v>0</v>
      </c>
      <c r="Q270" s="28"/>
      <c r="R270" s="246">
        <v>0</v>
      </c>
      <c r="S270" s="28" t="str">
        <f>CONCATENATE(SUMIF($E$6:$E270,E270,$R$6:$R$370)," / ",SUMIF($E$6:$E$370,E270,$R$6:$R$370))</f>
        <v>0 / 0</v>
      </c>
      <c r="T270" s="28" t="str">
        <f>CONCATENATE(SUMIF($F$6:$F270,$F270,$R$6:$R$370)," / ",SUMIF($F$6:$F$370,$F270,$R$6:$R$370))</f>
        <v>0 / 0</v>
      </c>
      <c r="U270" s="28" t="str">
        <f>CONCATENATE(SUM($R$6:$R270)," / ",SUM($R$6:$R$370))</f>
        <v>0 / 0</v>
      </c>
    </row>
    <row r="271" spans="2:21" ht="13" thickBot="1">
      <c r="B271" s="28"/>
      <c r="C271" s="237">
        <f t="shared" si="30"/>
        <v>42635</v>
      </c>
      <c r="D271" s="35" t="str">
        <f t="shared" si="26"/>
        <v>Jeudi</v>
      </c>
      <c r="E271" s="124">
        <f t="shared" si="27"/>
        <v>39</v>
      </c>
      <c r="F271" s="124">
        <f t="shared" si="28"/>
        <v>9</v>
      </c>
      <c r="G271" s="27"/>
      <c r="H271" s="28" t="str">
        <f>CONCATENATE(SUMIF($E$6:$E271,$E271,$K$6:$K$370)," / ",SUMIF($E$6:$E$370,$E271,$K$6:$K635))</f>
        <v>0 / 0</v>
      </c>
      <c r="I271" s="28" t="str">
        <f>CONCATENATE(SUMIF($F$6:$F271,$F271,$K$6:$K635)," / ",SUMIF($F$6:$F$370,$F271,$K$6:$K635))</f>
        <v>0 / 0</v>
      </c>
      <c r="J271" s="28" t="str">
        <f>CONCATENATE(SUM($K$6:$K271)," / ",SUM($K$6:$K$370))</f>
        <v>180,895 / 180,895</v>
      </c>
      <c r="K271" s="245">
        <v>0</v>
      </c>
      <c r="L271" s="28"/>
      <c r="M271" s="28" t="str">
        <f>CONCATENATE(SUMIF($E$6:$E271,$E271,$P$6:$P$370)," / ",SUMIF($E$6:$E$370,$E271,$P$6:$P$370))</f>
        <v>0 / 0</v>
      </c>
      <c r="N271" s="28" t="str">
        <f ca="1">CONCATENATE(SUMIF($F$6:$F271,$F271,$P271)," / ",SUMIF($F$6:$F$370,$F271,$P$6:$P$370))</f>
        <v>0 / 0</v>
      </c>
      <c r="O271" s="28" t="str">
        <f t="shared" si="29"/>
        <v>0 / 30</v>
      </c>
      <c r="P271" s="245">
        <v>0</v>
      </c>
      <c r="Q271" s="28"/>
      <c r="R271" s="246">
        <v>0</v>
      </c>
      <c r="S271" s="28" t="str">
        <f>CONCATENATE(SUMIF($E$6:$E271,E271,$R$6:$R$370)," / ",SUMIF($E$6:$E$370,E271,$R$6:$R$370))</f>
        <v>0 / 0</v>
      </c>
      <c r="T271" s="28" t="str">
        <f>CONCATENATE(SUMIF($F$6:$F271,$F271,$R$6:$R$370)," / ",SUMIF($F$6:$F$370,$F271,$R$6:$R$370))</f>
        <v>0 / 0</v>
      </c>
      <c r="U271" s="28" t="str">
        <f>CONCATENATE(SUM($R$6:$R271)," / ",SUM($R$6:$R$370))</f>
        <v>0 / 0</v>
      </c>
    </row>
    <row r="272" spans="2:21" ht="13" thickBot="1">
      <c r="B272" s="28"/>
      <c r="C272" s="237">
        <f t="shared" si="30"/>
        <v>42636</v>
      </c>
      <c r="D272" s="35" t="str">
        <f t="shared" si="26"/>
        <v>Vendredi</v>
      </c>
      <c r="E272" s="124">
        <f t="shared" si="27"/>
        <v>39</v>
      </c>
      <c r="F272" s="124">
        <f t="shared" si="28"/>
        <v>9</v>
      </c>
      <c r="G272" s="27"/>
      <c r="H272" s="28" t="str">
        <f>CONCATENATE(SUMIF($E$6:$E272,$E272,$K$6:$K$370)," / ",SUMIF($E$6:$E$370,$E272,$K$6:$K636))</f>
        <v>0 / 0</v>
      </c>
      <c r="I272" s="28" t="str">
        <f>CONCATENATE(SUMIF($F$6:$F272,$F272,$K$6:$K636)," / ",SUMIF($F$6:$F$370,$F272,$K$6:$K636))</f>
        <v>0 / 0</v>
      </c>
      <c r="J272" s="28" t="str">
        <f>CONCATENATE(SUM($K$6:$K272)," / ",SUM($K$6:$K$370))</f>
        <v>180,895 / 180,895</v>
      </c>
      <c r="K272" s="245">
        <v>0</v>
      </c>
      <c r="L272" s="28"/>
      <c r="M272" s="28" t="str">
        <f>CONCATENATE(SUMIF($E$6:$E272,$E272,$P$6:$P$370)," / ",SUMIF($E$6:$E$370,$E272,$P$6:$P$370))</f>
        <v>0 / 0</v>
      </c>
      <c r="N272" s="28" t="str">
        <f ca="1">CONCATENATE(SUMIF($F$6:$F272,$F272,$P272)," / ",SUMIF($F$6:$F$370,$F272,$P$6:$P$370))</f>
        <v>0 / 0</v>
      </c>
      <c r="O272" s="28" t="str">
        <f t="shared" si="29"/>
        <v>0 / 30</v>
      </c>
      <c r="P272" s="245">
        <v>0</v>
      </c>
      <c r="Q272" s="28"/>
      <c r="R272" s="246">
        <v>0</v>
      </c>
      <c r="S272" s="28" t="str">
        <f>CONCATENATE(SUMIF($E$6:$E272,E272,$R$6:$R$370)," / ",SUMIF($E$6:$E$370,E272,$R$6:$R$370))</f>
        <v>0 / 0</v>
      </c>
      <c r="T272" s="28" t="str">
        <f>CONCATENATE(SUMIF($F$6:$F272,$F272,$R$6:$R$370)," / ",SUMIF($F$6:$F$370,$F272,$R$6:$R$370))</f>
        <v>0 / 0</v>
      </c>
      <c r="U272" s="28" t="str">
        <f>CONCATENATE(SUM($R$6:$R272)," / ",SUM($R$6:$R$370))</f>
        <v>0 / 0</v>
      </c>
    </row>
    <row r="273" spans="2:21" ht="13" thickBot="1">
      <c r="B273" s="28"/>
      <c r="C273" s="237">
        <f t="shared" si="30"/>
        <v>42637</v>
      </c>
      <c r="D273" s="35" t="str">
        <f t="shared" si="26"/>
        <v>samedi</v>
      </c>
      <c r="E273" s="124">
        <f t="shared" si="27"/>
        <v>39</v>
      </c>
      <c r="F273" s="124">
        <f t="shared" si="28"/>
        <v>9</v>
      </c>
      <c r="G273" s="27"/>
      <c r="H273" s="28" t="str">
        <f>CONCATENATE(SUMIF($E$6:$E273,$E273,$K$6:$K$370)," / ",SUMIF($E$6:$E$370,$E273,$K$6:$K637))</f>
        <v>0 / 0</v>
      </c>
      <c r="I273" s="28" t="str">
        <f>CONCATENATE(SUMIF($F$6:$F273,$F273,$K$6:$K637)," / ",SUMIF($F$6:$F$370,$F273,$K$6:$K637))</f>
        <v>0 / 0</v>
      </c>
      <c r="J273" s="28" t="str">
        <f>CONCATENATE(SUM($K$6:$K273)," / ",SUM($K$6:$K$370))</f>
        <v>180,895 / 180,895</v>
      </c>
      <c r="K273" s="245">
        <v>0</v>
      </c>
      <c r="L273" s="28"/>
      <c r="M273" s="28" t="str">
        <f>CONCATENATE(SUMIF($E$6:$E273,$E273,$P$6:$P$370)," / ",SUMIF($E$6:$E$370,$E273,$P$6:$P$370))</f>
        <v>0 / 0</v>
      </c>
      <c r="N273" s="28" t="str">
        <f ca="1">CONCATENATE(SUMIF($F$6:$F273,$F273,$P273)," / ",SUMIF($F$6:$F$370,$F273,$P$6:$P$370))</f>
        <v>0 / 0</v>
      </c>
      <c r="O273" s="28" t="str">
        <f t="shared" si="29"/>
        <v>0 / 30</v>
      </c>
      <c r="P273" s="245">
        <v>0</v>
      </c>
      <c r="Q273" s="28"/>
      <c r="R273" s="246">
        <v>0</v>
      </c>
      <c r="S273" s="28" t="str">
        <f>CONCATENATE(SUMIF($E$6:$E273,E273,$R$6:$R$370)," / ",SUMIF($E$6:$E$370,E273,$R$6:$R$370))</f>
        <v>0 / 0</v>
      </c>
      <c r="T273" s="28" t="str">
        <f>CONCATENATE(SUMIF($F$6:$F273,$F273,$R$6:$R$370)," / ",SUMIF($F$6:$F$370,$F273,$R$6:$R$370))</f>
        <v>0 / 0</v>
      </c>
      <c r="U273" s="28" t="str">
        <f>CONCATENATE(SUM($R$6:$R273)," / ",SUM($R$6:$R$370))</f>
        <v>0 / 0</v>
      </c>
    </row>
    <row r="274" spans="2:21" ht="13" thickBot="1">
      <c r="B274" s="28"/>
      <c r="C274" s="237">
        <f t="shared" si="30"/>
        <v>42638</v>
      </c>
      <c r="D274" s="35" t="str">
        <f t="shared" si="26"/>
        <v>Dimanche</v>
      </c>
      <c r="E274" s="124">
        <f t="shared" si="27"/>
        <v>40</v>
      </c>
      <c r="F274" s="124">
        <f t="shared" si="28"/>
        <v>9</v>
      </c>
      <c r="G274" s="27"/>
      <c r="H274" s="28" t="str">
        <f>CONCATENATE(SUMIF($E$6:$E274,$E274,$K$6:$K$370)," / ",SUMIF($E$6:$E$370,$E274,$K$6:$K638))</f>
        <v>0 / 0</v>
      </c>
      <c r="I274" s="28" t="str">
        <f>CONCATENATE(SUMIF($F$6:$F274,$F274,$K$6:$K638)," / ",SUMIF($F$6:$F$370,$F274,$K$6:$K638))</f>
        <v>0 / 0</v>
      </c>
      <c r="J274" s="28" t="str">
        <f>CONCATENATE(SUM($K$6:$K274)," / ",SUM($K$6:$K$370))</f>
        <v>180,895 / 180,895</v>
      </c>
      <c r="K274" s="245">
        <v>0</v>
      </c>
      <c r="L274" s="28"/>
      <c r="M274" s="28" t="str">
        <f>CONCATENATE(SUMIF($E$6:$E274,$E274,$P$6:$P$370)," / ",SUMIF($E$6:$E$370,$E274,$P$6:$P$370))</f>
        <v>0 / 0</v>
      </c>
      <c r="N274" s="28" t="str">
        <f ca="1">CONCATENATE(SUMIF($F$6:$F274,$F274,$P274)," / ",SUMIF($F$6:$F$370,$F274,$P$6:$P$370))</f>
        <v>0 / 0</v>
      </c>
      <c r="O274" s="28" t="str">
        <f t="shared" si="29"/>
        <v>0 / 30</v>
      </c>
      <c r="P274" s="245">
        <v>0</v>
      </c>
      <c r="Q274" s="28"/>
      <c r="R274" s="246">
        <v>0</v>
      </c>
      <c r="S274" s="28" t="str">
        <f>CONCATENATE(SUMIF($E$6:$E274,E274,$R$6:$R$370)," / ",SUMIF($E$6:$E$370,E274,$R$6:$R$370))</f>
        <v>0 / 0</v>
      </c>
      <c r="T274" s="28" t="str">
        <f>CONCATENATE(SUMIF($F$6:$F274,$F274,$R$6:$R$370)," / ",SUMIF($F$6:$F$370,$F274,$R$6:$R$370))</f>
        <v>0 / 0</v>
      </c>
      <c r="U274" s="28" t="str">
        <f>CONCATENATE(SUM($R$6:$R274)," / ",SUM($R$6:$R$370))</f>
        <v>0 / 0</v>
      </c>
    </row>
    <row r="275" spans="2:21" ht="13" thickBot="1">
      <c r="B275" s="28"/>
      <c r="C275" s="237">
        <f t="shared" si="30"/>
        <v>42639</v>
      </c>
      <c r="D275" s="35" t="str">
        <f t="shared" si="26"/>
        <v>Lundi</v>
      </c>
      <c r="E275" s="124">
        <f t="shared" si="27"/>
        <v>40</v>
      </c>
      <c r="F275" s="124">
        <f t="shared" si="28"/>
        <v>9</v>
      </c>
      <c r="G275" s="27"/>
      <c r="H275" s="28" t="str">
        <f>CONCATENATE(SUMIF($E$6:$E275,$E275,$K$6:$K$370)," / ",SUMIF($E$6:$E$370,$E275,$K$6:$K639))</f>
        <v>0 / 0</v>
      </c>
      <c r="I275" s="28" t="str">
        <f>CONCATENATE(SUMIF($F$6:$F275,$F275,$K$6:$K639)," / ",SUMIF($F$6:$F$370,$F275,$K$6:$K639))</f>
        <v>0 / 0</v>
      </c>
      <c r="J275" s="28" t="str">
        <f>CONCATENATE(SUM($K$6:$K275)," / ",SUM($K$6:$K$370))</f>
        <v>180,895 / 180,895</v>
      </c>
      <c r="K275" s="245">
        <v>0</v>
      </c>
      <c r="L275" s="28"/>
      <c r="M275" s="28" t="str">
        <f>CONCATENATE(SUMIF($E$6:$E275,$E275,$P$6:$P$370)," / ",SUMIF($E$6:$E$370,$E275,$P$6:$P$370))</f>
        <v>0 / 0</v>
      </c>
      <c r="N275" s="28" t="str">
        <f ca="1">CONCATENATE(SUMIF($F$6:$F275,$F275,$P275)," / ",SUMIF($F$6:$F$370,$F275,$P$6:$P$370))</f>
        <v>0 / 0</v>
      </c>
      <c r="O275" s="28" t="str">
        <f t="shared" si="29"/>
        <v>0 / 30</v>
      </c>
      <c r="P275" s="245">
        <v>0</v>
      </c>
      <c r="Q275" s="28"/>
      <c r="R275" s="246">
        <v>0</v>
      </c>
      <c r="S275" s="28" t="str">
        <f>CONCATENATE(SUMIF($E$6:$E275,E275,$R$6:$R$370)," / ",SUMIF($E$6:$E$370,E275,$R$6:$R$370))</f>
        <v>0 / 0</v>
      </c>
      <c r="T275" s="28" t="str">
        <f>CONCATENATE(SUMIF($F$6:$F275,$F275,$R$6:$R$370)," / ",SUMIF($F$6:$F$370,$F275,$R$6:$R$370))</f>
        <v>0 / 0</v>
      </c>
      <c r="U275" s="28" t="str">
        <f>CONCATENATE(SUM($R$6:$R275)," / ",SUM($R$6:$R$370))</f>
        <v>0 / 0</v>
      </c>
    </row>
    <row r="276" spans="2:21" ht="13" thickBot="1">
      <c r="B276" s="28"/>
      <c r="C276" s="237">
        <f t="shared" si="30"/>
        <v>42640</v>
      </c>
      <c r="D276" s="35" t="str">
        <f t="shared" si="26"/>
        <v>Mardi</v>
      </c>
      <c r="E276" s="124">
        <f t="shared" si="27"/>
        <v>40</v>
      </c>
      <c r="F276" s="124">
        <f t="shared" si="28"/>
        <v>9</v>
      </c>
      <c r="G276" s="27"/>
      <c r="H276" s="28" t="str">
        <f>CONCATENATE(SUMIF($E$6:$E276,$E276,$K$6:$K$370)," / ",SUMIF($E$6:$E$370,$E276,$K$6:$K640))</f>
        <v>0 / 0</v>
      </c>
      <c r="I276" s="28" t="str">
        <f>CONCATENATE(SUMIF($F$6:$F276,$F276,$K$6:$K640)," / ",SUMIF($F$6:$F$370,$F276,$K$6:$K640))</f>
        <v>0 / 0</v>
      </c>
      <c r="J276" s="28" t="str">
        <f>CONCATENATE(SUM($K$6:$K276)," / ",SUM($K$6:$K$370))</f>
        <v>180,895 / 180,895</v>
      </c>
      <c r="K276" s="245">
        <v>0</v>
      </c>
      <c r="L276" s="28"/>
      <c r="M276" s="28" t="str">
        <f>CONCATENATE(SUMIF($E$6:$E276,$E276,$P$6:$P$370)," / ",SUMIF($E$6:$E$370,$E276,$P$6:$P$370))</f>
        <v>0 / 0</v>
      </c>
      <c r="N276" s="28" t="str">
        <f ca="1">CONCATENATE(SUMIF($F$6:$F276,$F276,$P276)," / ",SUMIF($F$6:$F$370,$F276,$P$6:$P$370))</f>
        <v>0 / 0</v>
      </c>
      <c r="O276" s="28" t="str">
        <f t="shared" si="29"/>
        <v>0 / 30</v>
      </c>
      <c r="P276" s="245">
        <v>0</v>
      </c>
      <c r="Q276" s="28"/>
      <c r="R276" s="246">
        <v>0</v>
      </c>
      <c r="S276" s="28" t="str">
        <f>CONCATENATE(SUMIF($E$6:$E276,E276,$R$6:$R$370)," / ",SUMIF($E$6:$E$370,E276,$R$6:$R$370))</f>
        <v>0 / 0</v>
      </c>
      <c r="T276" s="28" t="str">
        <f>CONCATENATE(SUMIF($F$6:$F276,$F276,$R$6:$R$370)," / ",SUMIF($F$6:$F$370,$F276,$R$6:$R$370))</f>
        <v>0 / 0</v>
      </c>
      <c r="U276" s="28" t="str">
        <f>CONCATENATE(SUM($R$6:$R276)," / ",SUM($R$6:$R$370))</f>
        <v>0 / 0</v>
      </c>
    </row>
    <row r="277" spans="2:21" ht="13" thickBot="1">
      <c r="B277" s="28"/>
      <c r="C277" s="237">
        <f t="shared" si="30"/>
        <v>42641</v>
      </c>
      <c r="D277" s="35" t="str">
        <f t="shared" si="26"/>
        <v>Mercredi</v>
      </c>
      <c r="E277" s="124">
        <f t="shared" si="27"/>
        <v>40</v>
      </c>
      <c r="F277" s="124">
        <f t="shared" si="28"/>
        <v>9</v>
      </c>
      <c r="G277" s="27"/>
      <c r="H277" s="28" t="str">
        <f>CONCATENATE(SUMIF($E$6:$E277,$E277,$K$6:$K$370)," / ",SUMIF($E$6:$E$370,$E277,$K$6:$K641))</f>
        <v>0 / 0</v>
      </c>
      <c r="I277" s="28" t="str">
        <f>CONCATENATE(SUMIF($F$6:$F277,$F277,$K$6:$K641)," / ",SUMIF($F$6:$F$370,$F277,$K$6:$K641))</f>
        <v>0 / 0</v>
      </c>
      <c r="J277" s="28" t="str">
        <f>CONCATENATE(SUM($K$6:$K277)," / ",SUM($K$6:$K$370))</f>
        <v>180,895 / 180,895</v>
      </c>
      <c r="K277" s="245">
        <v>0</v>
      </c>
      <c r="L277" s="28"/>
      <c r="M277" s="28" t="str">
        <f>CONCATENATE(SUMIF($E$6:$E277,$E277,$P$6:$P$370)," / ",SUMIF($E$6:$E$370,$E277,$P$6:$P$370))</f>
        <v>0 / 0</v>
      </c>
      <c r="N277" s="28" t="str">
        <f ca="1">CONCATENATE(SUMIF($F$6:$F277,$F277,$P277)," / ",SUMIF($F$6:$F$370,$F277,$P$6:$P$370))</f>
        <v>0 / 0</v>
      </c>
      <c r="O277" s="28" t="str">
        <f t="shared" si="29"/>
        <v>0 / 30</v>
      </c>
      <c r="P277" s="245">
        <v>0</v>
      </c>
      <c r="Q277" s="28"/>
      <c r="R277" s="246">
        <v>0</v>
      </c>
      <c r="S277" s="28" t="str">
        <f>CONCATENATE(SUMIF($E$6:$E277,E277,$R$6:$R$370)," / ",SUMIF($E$6:$E$370,E277,$R$6:$R$370))</f>
        <v>0 / 0</v>
      </c>
      <c r="T277" s="28" t="str">
        <f>CONCATENATE(SUMIF($F$6:$F277,$F277,$R$6:$R$370)," / ",SUMIF($F$6:$F$370,$F277,$R$6:$R$370))</f>
        <v>0 / 0</v>
      </c>
      <c r="U277" s="28" t="str">
        <f>CONCATENATE(SUM($R$6:$R277)," / ",SUM($R$6:$R$370))</f>
        <v>0 / 0</v>
      </c>
    </row>
    <row r="278" spans="2:21" ht="13" thickBot="1">
      <c r="B278" s="28"/>
      <c r="C278" s="237">
        <f t="shared" si="30"/>
        <v>42642</v>
      </c>
      <c r="D278" s="35" t="str">
        <f t="shared" si="26"/>
        <v>Jeudi</v>
      </c>
      <c r="E278" s="124">
        <f t="shared" si="27"/>
        <v>40</v>
      </c>
      <c r="F278" s="124">
        <f t="shared" si="28"/>
        <v>9</v>
      </c>
      <c r="G278" s="27"/>
      <c r="H278" s="28" t="str">
        <f>CONCATENATE(SUMIF($E$6:$E278,$E278,$K$6:$K$370)," / ",SUMIF($E$6:$E$370,$E278,$K$6:$K642))</f>
        <v>0 / 0</v>
      </c>
      <c r="I278" s="28" t="str">
        <f>CONCATENATE(SUMIF($F$6:$F278,$F278,$K$6:$K642)," / ",SUMIF($F$6:$F$370,$F278,$K$6:$K642))</f>
        <v>0 / 0</v>
      </c>
      <c r="J278" s="28" t="str">
        <f>CONCATENATE(SUM($K$6:$K278)," / ",SUM($K$6:$K$370))</f>
        <v>180,895 / 180,895</v>
      </c>
      <c r="K278" s="245">
        <v>0</v>
      </c>
      <c r="L278" s="28"/>
      <c r="M278" s="28" t="str">
        <f>CONCATENATE(SUMIF($E$6:$E278,$E278,$P$6:$P$370)," / ",SUMIF($E$6:$E$370,$E278,$P$6:$P$370))</f>
        <v>0 / 0</v>
      </c>
      <c r="N278" s="28" t="str">
        <f ca="1">CONCATENATE(SUMIF($F$6:$F278,$F278,$P278)," / ",SUMIF($F$6:$F$370,$F278,$P$6:$P$370))</f>
        <v>0 / 0</v>
      </c>
      <c r="O278" s="28" t="str">
        <f t="shared" si="29"/>
        <v>0 / 30</v>
      </c>
      <c r="P278" s="245">
        <v>0</v>
      </c>
      <c r="Q278" s="28"/>
      <c r="R278" s="246">
        <v>0</v>
      </c>
      <c r="S278" s="28" t="str">
        <f>CONCATENATE(SUMIF($E$6:$E278,E278,$R$6:$R$370)," / ",SUMIF($E$6:$E$370,E278,$R$6:$R$370))</f>
        <v>0 / 0</v>
      </c>
      <c r="T278" s="28" t="str">
        <f>CONCATENATE(SUMIF($F$6:$F278,$F278,$R$6:$R$370)," / ",SUMIF($F$6:$F$370,$F278,$R$6:$R$370))</f>
        <v>0 / 0</v>
      </c>
      <c r="U278" s="28" t="str">
        <f>CONCATENATE(SUM($R$6:$R278)," / ",SUM($R$6:$R$370))</f>
        <v>0 / 0</v>
      </c>
    </row>
    <row r="279" spans="2:21" ht="13" thickBot="1">
      <c r="B279" s="28"/>
      <c r="C279" s="237">
        <f t="shared" si="30"/>
        <v>42643</v>
      </c>
      <c r="D279" s="35" t="str">
        <f t="shared" si="26"/>
        <v>Vendredi</v>
      </c>
      <c r="E279" s="124">
        <f t="shared" si="27"/>
        <v>40</v>
      </c>
      <c r="F279" s="124">
        <f t="shared" si="28"/>
        <v>9</v>
      </c>
      <c r="G279" s="27"/>
      <c r="H279" s="28" t="str">
        <f>CONCATENATE(SUMIF($E$6:$E279,$E279,$K$6:$K$370)," / ",SUMIF($E$6:$E$370,$E279,$K$6:$K643))</f>
        <v>0 / 0</v>
      </c>
      <c r="I279" s="28" t="str">
        <f>CONCATENATE(SUMIF($F$6:$F279,$F279,$K$6:$K643)," / ",SUMIF($F$6:$F$370,$F279,$K$6:$K643))</f>
        <v>0 / 0</v>
      </c>
      <c r="J279" s="28" t="str">
        <f>CONCATENATE(SUM($K$6:$K279)," / ",SUM($K$6:$K$370))</f>
        <v>180,895 / 180,895</v>
      </c>
      <c r="K279" s="245">
        <v>0</v>
      </c>
      <c r="L279" s="28"/>
      <c r="M279" s="28" t="str">
        <f>CONCATENATE(SUMIF($E$6:$E279,$E279,$P$6:$P$370)," / ",SUMIF($E$6:$E$370,$E279,$P$6:$P$370))</f>
        <v>0 / 0</v>
      </c>
      <c r="N279" s="28" t="str">
        <f ca="1">CONCATENATE(SUMIF($F$6:$F279,$F279,$P279)," / ",SUMIF($F$6:$F$370,$F279,$P$6:$P$370))</f>
        <v>0 / 0</v>
      </c>
      <c r="O279" s="28" t="str">
        <f t="shared" si="29"/>
        <v>0 / 30</v>
      </c>
      <c r="P279" s="245">
        <v>0</v>
      </c>
      <c r="Q279" s="28"/>
      <c r="R279" s="246">
        <v>0</v>
      </c>
      <c r="S279" s="28" t="str">
        <f>CONCATENATE(SUMIF($E$6:$E279,E279,$R$6:$R$370)," / ",SUMIF($E$6:$E$370,E279,$R$6:$R$370))</f>
        <v>0 / 0</v>
      </c>
      <c r="T279" s="28" t="str">
        <f>CONCATENATE(SUMIF($F$6:$F279,$F279,$R$6:$R$370)," / ",SUMIF($F$6:$F$370,$F279,$R$6:$R$370))</f>
        <v>0 / 0</v>
      </c>
      <c r="U279" s="28" t="str">
        <f>CONCATENATE(SUM($R$6:$R279)," / ",SUM($R$6:$R$370))</f>
        <v>0 / 0</v>
      </c>
    </row>
    <row r="280" spans="2:21" ht="13" thickBot="1">
      <c r="B280" s="28"/>
      <c r="C280" s="237">
        <f t="shared" si="30"/>
        <v>42644</v>
      </c>
      <c r="D280" s="35" t="str">
        <f t="shared" si="26"/>
        <v>samedi</v>
      </c>
      <c r="E280" s="124">
        <f t="shared" si="27"/>
        <v>40</v>
      </c>
      <c r="F280" s="124">
        <f t="shared" si="28"/>
        <v>10</v>
      </c>
      <c r="G280" s="27"/>
      <c r="H280" s="28" t="str">
        <f>CONCATENATE(SUMIF($E$6:$E280,$E280,$K$6:$K$370)," / ",SUMIF($E$6:$E$370,$E280,$K$6:$K644))</f>
        <v>0 / 0</v>
      </c>
      <c r="I280" s="28" t="str">
        <f>CONCATENATE(SUMIF($F$6:$F280,$F280,$K$6:$K644)," / ",SUMIF($F$6:$F$370,$F280,$K$6:$K644))</f>
        <v>0 / 0</v>
      </c>
      <c r="J280" s="28" t="str">
        <f>CONCATENATE(SUM($K$6:$K280)," / ",SUM($K$6:$K$370))</f>
        <v>180,895 / 180,895</v>
      </c>
      <c r="K280" s="245">
        <v>0</v>
      </c>
      <c r="L280" s="28"/>
      <c r="M280" s="28" t="str">
        <f>CONCATENATE(SUMIF($E$6:$E280,$E280,$P$6:$P$370)," / ",SUMIF($E$6:$E$370,$E280,$P$6:$P$370))</f>
        <v>0 / 0</v>
      </c>
      <c r="N280" s="28" t="str">
        <f ca="1">CONCATENATE(SUMIF($F$6:$F280,$F280,$P280)," / ",SUMIF($F$6:$F$370,$F280,$P$6:$P$370))</f>
        <v>0 / 0</v>
      </c>
      <c r="O280" s="28" t="str">
        <f t="shared" si="29"/>
        <v>0 / 30</v>
      </c>
      <c r="P280" s="245">
        <v>0</v>
      </c>
      <c r="Q280" s="28"/>
      <c r="R280" s="246">
        <v>0</v>
      </c>
      <c r="S280" s="28" t="str">
        <f>CONCATENATE(SUMIF($E$6:$E280,E280,$R$6:$R$370)," / ",SUMIF($E$6:$E$370,E280,$R$6:$R$370))</f>
        <v>0 / 0</v>
      </c>
      <c r="T280" s="28" t="str">
        <f>CONCATENATE(SUMIF($F$6:$F280,$F280,$R$6:$R$370)," / ",SUMIF($F$6:$F$370,$F280,$R$6:$R$370))</f>
        <v>0 / 0</v>
      </c>
      <c r="U280" s="28" t="str">
        <f>CONCATENATE(SUM($R$6:$R280)," / ",SUM($R$6:$R$370))</f>
        <v>0 / 0</v>
      </c>
    </row>
    <row r="281" spans="2:21" ht="13" thickBot="1">
      <c r="B281" s="28"/>
      <c r="C281" s="237">
        <f t="shared" si="30"/>
        <v>42645</v>
      </c>
      <c r="D281" s="35" t="str">
        <f t="shared" si="26"/>
        <v>Dimanche</v>
      </c>
      <c r="E281" s="124">
        <f t="shared" si="27"/>
        <v>41</v>
      </c>
      <c r="F281" s="124">
        <f t="shared" si="28"/>
        <v>10</v>
      </c>
      <c r="G281" s="27"/>
      <c r="H281" s="28" t="str">
        <f>CONCATENATE(SUMIF($E$6:$E281,$E281,$K$6:$K$370)," / ",SUMIF($E$6:$E$370,$E281,$K$6:$K645))</f>
        <v>0 / 0</v>
      </c>
      <c r="I281" s="28" t="str">
        <f>CONCATENATE(SUMIF($F$6:$F281,$F281,$K$6:$K645)," / ",SUMIF($F$6:$F$370,$F281,$K$6:$K645))</f>
        <v>0 / 0</v>
      </c>
      <c r="J281" s="28" t="str">
        <f>CONCATENATE(SUM($K$6:$K281)," / ",SUM($K$6:$K$370))</f>
        <v>180,895 / 180,895</v>
      </c>
      <c r="K281" s="245">
        <v>0</v>
      </c>
      <c r="L281" s="28"/>
      <c r="M281" s="28" t="str">
        <f>CONCATENATE(SUMIF($E$6:$E281,$E281,$P$6:$P$370)," / ",SUMIF($E$6:$E$370,$E281,$P$6:$P$370))</f>
        <v>0 / 0</v>
      </c>
      <c r="N281" s="28" t="str">
        <f ca="1">CONCATENATE(SUMIF($F$6:$F281,$F281,$P281)," / ",SUMIF($F$6:$F$370,$F281,$P$6:$P$370))</f>
        <v>0 / 0</v>
      </c>
      <c r="O281" s="28" t="str">
        <f t="shared" si="29"/>
        <v>0 / 30</v>
      </c>
      <c r="P281" s="245">
        <v>0</v>
      </c>
      <c r="Q281" s="28"/>
      <c r="R281" s="246">
        <v>0</v>
      </c>
      <c r="S281" s="28" t="str">
        <f>CONCATENATE(SUMIF($E$6:$E281,E281,$R$6:$R$370)," / ",SUMIF($E$6:$E$370,E281,$R$6:$R$370))</f>
        <v>0 / 0</v>
      </c>
      <c r="T281" s="28" t="str">
        <f>CONCATENATE(SUMIF($F$6:$F281,$F281,$R$6:$R$370)," / ",SUMIF($F$6:$F$370,$F281,$R$6:$R$370))</f>
        <v>0 / 0</v>
      </c>
      <c r="U281" s="28" t="str">
        <f>CONCATENATE(SUM($R$6:$R281)," / ",SUM($R$6:$R$370))</f>
        <v>0 / 0</v>
      </c>
    </row>
    <row r="282" spans="2:21" ht="13" thickBot="1">
      <c r="B282" s="28"/>
      <c r="C282" s="237">
        <f t="shared" si="30"/>
        <v>42646</v>
      </c>
      <c r="D282" s="35" t="str">
        <f t="shared" si="26"/>
        <v>Lundi</v>
      </c>
      <c r="E282" s="124">
        <f t="shared" si="27"/>
        <v>41</v>
      </c>
      <c r="F282" s="124">
        <f t="shared" si="28"/>
        <v>10</v>
      </c>
      <c r="G282" s="27"/>
      <c r="H282" s="28" t="str">
        <f>CONCATENATE(SUMIF($E$6:$E282,$E282,$K$6:$K$370)," / ",SUMIF($E$6:$E$370,$E282,$K$6:$K646))</f>
        <v>0 / 0</v>
      </c>
      <c r="I282" s="28" t="str">
        <f>CONCATENATE(SUMIF($F$6:$F282,$F282,$K$6:$K646)," / ",SUMIF($F$6:$F$370,$F282,$K$6:$K646))</f>
        <v>0 / 0</v>
      </c>
      <c r="J282" s="28" t="str">
        <f>CONCATENATE(SUM($K$6:$K282)," / ",SUM($K$6:$K$370))</f>
        <v>180,895 / 180,895</v>
      </c>
      <c r="K282" s="245">
        <v>0</v>
      </c>
      <c r="L282" s="28"/>
      <c r="M282" s="28" t="str">
        <f>CONCATENATE(SUMIF($E$6:$E282,$E282,$P$6:$P$370)," / ",SUMIF($E$6:$E$370,$E282,$P$6:$P$370))</f>
        <v>0 / 0</v>
      </c>
      <c r="N282" s="28" t="str">
        <f ca="1">CONCATENATE(SUMIF($F$6:$F282,$F282,$P282)," / ",SUMIF($F$6:$F$370,$F282,$P$6:$P$370))</f>
        <v>0 / 0</v>
      </c>
      <c r="O282" s="28" t="str">
        <f t="shared" si="29"/>
        <v>0 / 30</v>
      </c>
      <c r="P282" s="245">
        <v>0</v>
      </c>
      <c r="Q282" s="28"/>
      <c r="R282" s="246">
        <v>0</v>
      </c>
      <c r="S282" s="28" t="str">
        <f>CONCATENATE(SUMIF($E$6:$E282,E282,$R$6:$R$370)," / ",SUMIF($E$6:$E$370,E282,$R$6:$R$370))</f>
        <v>0 / 0</v>
      </c>
      <c r="T282" s="28" t="str">
        <f>CONCATENATE(SUMIF($F$6:$F282,$F282,$R$6:$R$370)," / ",SUMIF($F$6:$F$370,$F282,$R$6:$R$370))</f>
        <v>0 / 0</v>
      </c>
      <c r="U282" s="28" t="str">
        <f>CONCATENATE(SUM($R$6:$R282)," / ",SUM($R$6:$R$370))</f>
        <v>0 / 0</v>
      </c>
    </row>
    <row r="283" spans="2:21" ht="13" thickBot="1">
      <c r="B283" s="28"/>
      <c r="C283" s="237">
        <f t="shared" si="30"/>
        <v>42647</v>
      </c>
      <c r="D283" s="35" t="str">
        <f t="shared" si="26"/>
        <v>Mardi</v>
      </c>
      <c r="E283" s="124">
        <f t="shared" si="27"/>
        <v>41</v>
      </c>
      <c r="F283" s="124">
        <f t="shared" si="28"/>
        <v>10</v>
      </c>
      <c r="G283" s="27"/>
      <c r="H283" s="28" t="str">
        <f>CONCATENATE(SUMIF($E$6:$E283,$E283,$K$6:$K$370)," / ",SUMIF($E$6:$E$370,$E283,$K$6:$K647))</f>
        <v>0 / 0</v>
      </c>
      <c r="I283" s="28" t="str">
        <f>CONCATENATE(SUMIF($F$6:$F283,$F283,$K$6:$K647)," / ",SUMIF($F$6:$F$370,$F283,$K$6:$K647))</f>
        <v>0 / 0</v>
      </c>
      <c r="J283" s="28" t="str">
        <f>CONCATENATE(SUM($K$6:$K283)," / ",SUM($K$6:$K$370))</f>
        <v>180,895 / 180,895</v>
      </c>
      <c r="K283" s="245">
        <v>0</v>
      </c>
      <c r="L283" s="28"/>
      <c r="M283" s="28" t="str">
        <f>CONCATENATE(SUMIF($E$6:$E283,$E283,$P$6:$P$370)," / ",SUMIF($E$6:$E$370,$E283,$P$6:$P$370))</f>
        <v>0 / 0</v>
      </c>
      <c r="N283" s="28" t="str">
        <f ca="1">CONCATENATE(SUMIF($F$6:$F283,$F283,$P283)," / ",SUMIF($F$6:$F$370,$F283,$P$6:$P$370))</f>
        <v>0 / 0</v>
      </c>
      <c r="O283" s="28" t="str">
        <f t="shared" si="29"/>
        <v>0 / 30</v>
      </c>
      <c r="P283" s="245">
        <v>0</v>
      </c>
      <c r="Q283" s="28"/>
      <c r="R283" s="246">
        <v>0</v>
      </c>
      <c r="S283" s="28" t="str">
        <f>CONCATENATE(SUMIF($E$6:$E283,E283,$R$6:$R$370)," / ",SUMIF($E$6:$E$370,E283,$R$6:$R$370))</f>
        <v>0 / 0</v>
      </c>
      <c r="T283" s="28" t="str">
        <f>CONCATENATE(SUMIF($F$6:$F283,$F283,$R$6:$R$370)," / ",SUMIF($F$6:$F$370,$F283,$R$6:$R$370))</f>
        <v>0 / 0</v>
      </c>
      <c r="U283" s="28" t="str">
        <f>CONCATENATE(SUM($R$6:$R283)," / ",SUM($R$6:$R$370))</f>
        <v>0 / 0</v>
      </c>
    </row>
    <row r="284" spans="2:21" ht="13" thickBot="1">
      <c r="B284" s="28"/>
      <c r="C284" s="237">
        <f t="shared" si="30"/>
        <v>42648</v>
      </c>
      <c r="D284" s="35" t="str">
        <f t="shared" si="26"/>
        <v>Mercredi</v>
      </c>
      <c r="E284" s="124">
        <f t="shared" si="27"/>
        <v>41</v>
      </c>
      <c r="F284" s="124">
        <f t="shared" si="28"/>
        <v>10</v>
      </c>
      <c r="G284" s="27"/>
      <c r="H284" s="28" t="str">
        <f>CONCATENATE(SUMIF($E$6:$E284,$E284,$K$6:$K$370)," / ",SUMIF($E$6:$E$370,$E284,$K$6:$K648))</f>
        <v>0 / 0</v>
      </c>
      <c r="I284" s="28" t="str">
        <f>CONCATENATE(SUMIF($F$6:$F284,$F284,$K$6:$K648)," / ",SUMIF($F$6:$F$370,$F284,$K$6:$K648))</f>
        <v>0 / 0</v>
      </c>
      <c r="J284" s="28" t="str">
        <f>CONCATENATE(SUM($K$6:$K284)," / ",SUM($K$6:$K$370))</f>
        <v>180,895 / 180,895</v>
      </c>
      <c r="K284" s="245">
        <v>0</v>
      </c>
      <c r="L284" s="28"/>
      <c r="M284" s="28" t="str">
        <f>CONCATENATE(SUMIF($E$6:$E284,$E284,$P$6:$P$370)," / ",SUMIF($E$6:$E$370,$E284,$P$6:$P$370))</f>
        <v>0 / 0</v>
      </c>
      <c r="N284" s="28" t="str">
        <f ca="1">CONCATENATE(SUMIF($F$6:$F284,$F284,$P284)," / ",SUMIF($F$6:$F$370,$F284,$P$6:$P$370))</f>
        <v>0 / 0</v>
      </c>
      <c r="O284" s="28" t="str">
        <f t="shared" si="29"/>
        <v>0 / 30</v>
      </c>
      <c r="P284" s="245">
        <v>0</v>
      </c>
      <c r="Q284" s="28"/>
      <c r="R284" s="246">
        <v>0</v>
      </c>
      <c r="S284" s="28" t="str">
        <f>CONCATENATE(SUMIF($E$6:$E284,E284,$R$6:$R$370)," / ",SUMIF($E$6:$E$370,E284,$R$6:$R$370))</f>
        <v>0 / 0</v>
      </c>
      <c r="T284" s="28" t="str">
        <f>CONCATENATE(SUMIF($F$6:$F284,$F284,$R$6:$R$370)," / ",SUMIF($F$6:$F$370,$F284,$R$6:$R$370))</f>
        <v>0 / 0</v>
      </c>
      <c r="U284" s="28" t="str">
        <f>CONCATENATE(SUM($R$6:$R284)," / ",SUM($R$6:$R$370))</f>
        <v>0 / 0</v>
      </c>
    </row>
    <row r="285" spans="2:21" ht="13" thickBot="1">
      <c r="B285" s="28"/>
      <c r="C285" s="237">
        <f t="shared" si="30"/>
        <v>42649</v>
      </c>
      <c r="D285" s="35" t="str">
        <f t="shared" si="26"/>
        <v>Jeudi</v>
      </c>
      <c r="E285" s="124">
        <f t="shared" si="27"/>
        <v>41</v>
      </c>
      <c r="F285" s="124">
        <f t="shared" si="28"/>
        <v>10</v>
      </c>
      <c r="G285" s="27"/>
      <c r="H285" s="28" t="str">
        <f>CONCATENATE(SUMIF($E$6:$E285,$E285,$K$6:$K$370)," / ",SUMIF($E$6:$E$370,$E285,$K$6:$K649))</f>
        <v>0 / 0</v>
      </c>
      <c r="I285" s="28" t="str">
        <f>CONCATENATE(SUMIF($F$6:$F285,$F285,$K$6:$K649)," / ",SUMIF($F$6:$F$370,$F285,$K$6:$K649))</f>
        <v>0 / 0</v>
      </c>
      <c r="J285" s="28" t="str">
        <f>CONCATENATE(SUM($K$6:$K285)," / ",SUM($K$6:$K$370))</f>
        <v>180,895 / 180,895</v>
      </c>
      <c r="K285" s="245">
        <v>0</v>
      </c>
      <c r="L285" s="28"/>
      <c r="M285" s="28" t="str">
        <f>CONCATENATE(SUMIF($E$6:$E285,$E285,$P$6:$P$370)," / ",SUMIF($E$6:$E$370,$E285,$P$6:$P$370))</f>
        <v>0 / 0</v>
      </c>
      <c r="N285" s="28" t="str">
        <f ca="1">CONCATENATE(SUMIF($F$6:$F285,$F285,$P285)," / ",SUMIF($F$6:$F$370,$F285,$P$6:$P$370))</f>
        <v>0 / 0</v>
      </c>
      <c r="O285" s="28" t="str">
        <f t="shared" si="29"/>
        <v>0 / 30</v>
      </c>
      <c r="P285" s="245">
        <v>0</v>
      </c>
      <c r="Q285" s="28"/>
      <c r="R285" s="246">
        <v>0</v>
      </c>
      <c r="S285" s="28" t="str">
        <f>CONCATENATE(SUMIF($E$6:$E285,E285,$R$6:$R$370)," / ",SUMIF($E$6:$E$370,E285,$R$6:$R$370))</f>
        <v>0 / 0</v>
      </c>
      <c r="T285" s="28" t="str">
        <f>CONCATENATE(SUMIF($F$6:$F285,$F285,$R$6:$R$370)," / ",SUMIF($F$6:$F$370,$F285,$R$6:$R$370))</f>
        <v>0 / 0</v>
      </c>
      <c r="U285" s="28" t="str">
        <f>CONCATENATE(SUM($R$6:$R285)," / ",SUM($R$6:$R$370))</f>
        <v>0 / 0</v>
      </c>
    </row>
    <row r="286" spans="2:21" ht="13" thickBot="1">
      <c r="B286" s="28"/>
      <c r="C286" s="237">
        <f t="shared" si="30"/>
        <v>42650</v>
      </c>
      <c r="D286" s="35" t="str">
        <f t="shared" si="26"/>
        <v>Vendredi</v>
      </c>
      <c r="E286" s="124">
        <f t="shared" si="27"/>
        <v>41</v>
      </c>
      <c r="F286" s="124">
        <f t="shared" si="28"/>
        <v>10</v>
      </c>
      <c r="G286" s="27"/>
      <c r="H286" s="28" t="str">
        <f>CONCATENATE(SUMIF($E$6:$E286,$E286,$K$6:$K$370)," / ",SUMIF($E$6:$E$370,$E286,$K$6:$K650))</f>
        <v>0 / 0</v>
      </c>
      <c r="I286" s="28" t="str">
        <f>CONCATENATE(SUMIF($F$6:$F286,$F286,$K$6:$K650)," / ",SUMIF($F$6:$F$370,$F286,$K$6:$K650))</f>
        <v>0 / 0</v>
      </c>
      <c r="J286" s="28" t="str">
        <f>CONCATENATE(SUM($K$6:$K286)," / ",SUM($K$6:$K$370))</f>
        <v>180,895 / 180,895</v>
      </c>
      <c r="K286" s="245">
        <v>0</v>
      </c>
      <c r="L286" s="28"/>
      <c r="M286" s="28" t="str">
        <f>CONCATENATE(SUMIF($E$6:$E286,$E286,$P$6:$P$370)," / ",SUMIF($E$6:$E$370,$E286,$P$6:$P$370))</f>
        <v>0 / 0</v>
      </c>
      <c r="N286" s="28" t="str">
        <f ca="1">CONCATENATE(SUMIF($F$6:$F286,$F286,$P286)," / ",SUMIF($F$6:$F$370,$F286,$P$6:$P$370))</f>
        <v>0 / 0</v>
      </c>
      <c r="O286" s="28" t="str">
        <f t="shared" si="29"/>
        <v>0 / 30</v>
      </c>
      <c r="P286" s="245">
        <v>0</v>
      </c>
      <c r="Q286" s="28"/>
      <c r="R286" s="246">
        <v>0</v>
      </c>
      <c r="S286" s="28" t="str">
        <f>CONCATENATE(SUMIF($E$6:$E286,E286,$R$6:$R$370)," / ",SUMIF($E$6:$E$370,E286,$R$6:$R$370))</f>
        <v>0 / 0</v>
      </c>
      <c r="T286" s="28" t="str">
        <f>CONCATENATE(SUMIF($F$6:$F286,$F286,$R$6:$R$370)," / ",SUMIF($F$6:$F$370,$F286,$R$6:$R$370))</f>
        <v>0 / 0</v>
      </c>
      <c r="U286" s="28" t="str">
        <f>CONCATENATE(SUM($R$6:$R286)," / ",SUM($R$6:$R$370))</f>
        <v>0 / 0</v>
      </c>
    </row>
    <row r="287" spans="2:21" ht="13" thickBot="1">
      <c r="B287" s="28"/>
      <c r="C287" s="237">
        <f t="shared" si="30"/>
        <v>42651</v>
      </c>
      <c r="D287" s="35" t="str">
        <f t="shared" si="26"/>
        <v>samedi</v>
      </c>
      <c r="E287" s="124">
        <f t="shared" si="27"/>
        <v>41</v>
      </c>
      <c r="F287" s="124">
        <f t="shared" si="28"/>
        <v>10</v>
      </c>
      <c r="G287" s="27"/>
      <c r="H287" s="28" t="str">
        <f>CONCATENATE(SUMIF($E$6:$E287,$E287,$K$6:$K$370)," / ",SUMIF($E$6:$E$370,$E287,$K$6:$K651))</f>
        <v>0 / 0</v>
      </c>
      <c r="I287" s="28" t="str">
        <f>CONCATENATE(SUMIF($F$6:$F287,$F287,$K$6:$K651)," / ",SUMIF($F$6:$F$370,$F287,$K$6:$K651))</f>
        <v>0 / 0</v>
      </c>
      <c r="J287" s="28" t="str">
        <f>CONCATENATE(SUM($K$6:$K287)," / ",SUM($K$6:$K$370))</f>
        <v>180,895 / 180,895</v>
      </c>
      <c r="K287" s="245">
        <v>0</v>
      </c>
      <c r="L287" s="28"/>
      <c r="M287" s="28" t="str">
        <f>CONCATENATE(SUMIF($E$6:$E287,$E287,$P$6:$P$370)," / ",SUMIF($E$6:$E$370,$E287,$P$6:$P$370))</f>
        <v>0 / 0</v>
      </c>
      <c r="N287" s="28" t="str">
        <f ca="1">CONCATENATE(SUMIF($F$6:$F287,$F287,$P287)," / ",SUMIF($F$6:$F$370,$F287,$P$6:$P$370))</f>
        <v>0 / 0</v>
      </c>
      <c r="O287" s="28" t="str">
        <f t="shared" si="29"/>
        <v>0 / 30</v>
      </c>
      <c r="P287" s="245">
        <v>0</v>
      </c>
      <c r="Q287" s="28"/>
      <c r="R287" s="246">
        <v>0</v>
      </c>
      <c r="S287" s="28" t="str">
        <f>CONCATENATE(SUMIF($E$6:$E287,E287,$R$6:$R$370)," / ",SUMIF($E$6:$E$370,E287,$R$6:$R$370))</f>
        <v>0 / 0</v>
      </c>
      <c r="T287" s="28" t="str">
        <f>CONCATENATE(SUMIF($F$6:$F287,$F287,$R$6:$R$370)," / ",SUMIF($F$6:$F$370,$F287,$R$6:$R$370))</f>
        <v>0 / 0</v>
      </c>
      <c r="U287" s="28" t="str">
        <f>CONCATENATE(SUM($R$6:$R287)," / ",SUM($R$6:$R$370))</f>
        <v>0 / 0</v>
      </c>
    </row>
    <row r="288" spans="2:21" ht="13" thickBot="1">
      <c r="B288" s="28"/>
      <c r="C288" s="237">
        <f t="shared" si="30"/>
        <v>42652</v>
      </c>
      <c r="D288" s="35" t="str">
        <f t="shared" ref="D288:D351" si="31">IF(EXACT(WEEKDAY(C288),1),"Dimanche",IF(EXACT(WEEKDAY(C288),2),"Lundi",IF(EXACT(WEEKDAY(C288),3),"Mardi",IF(EXACT(WEEKDAY(C288),4),"Mercredi",IF(EXACT(WEEKDAY(C288),5),"Jeudi",IF(EXACT(WEEKDAY(C288),6),"Vendredi",IF(EXACT(WEEKDAY(C288),7),"samedi","Erreur de date")))))))</f>
        <v>Dimanche</v>
      </c>
      <c r="E288" s="124">
        <f t="shared" si="27"/>
        <v>42</v>
      </c>
      <c r="F288" s="124">
        <f t="shared" si="28"/>
        <v>10</v>
      </c>
      <c r="G288" s="27"/>
      <c r="H288" s="28" t="str">
        <f>CONCATENATE(SUMIF($E$6:$E288,$E288,$K$6:$K$370)," / ",SUMIF($E$6:$E$370,$E288,$K$6:$K652))</f>
        <v>0 / 0</v>
      </c>
      <c r="I288" s="28" t="str">
        <f>CONCATENATE(SUMIF($F$6:$F288,$F288,$K$6:$K652)," / ",SUMIF($F$6:$F$370,$F288,$K$6:$K652))</f>
        <v>0 / 0</v>
      </c>
      <c r="J288" s="28" t="str">
        <f>CONCATENATE(SUM($K$6:$K288)," / ",SUM($K$6:$K$370))</f>
        <v>180,895 / 180,895</v>
      </c>
      <c r="K288" s="245">
        <v>0</v>
      </c>
      <c r="L288" s="28"/>
      <c r="M288" s="28" t="str">
        <f>CONCATENATE(SUMIF($E$6:$E288,$E288,$P$6:$P$370)," / ",SUMIF($E$6:$E$370,$E288,$P$6:$P$370))</f>
        <v>0 / 0</v>
      </c>
      <c r="N288" s="28" t="str">
        <f ca="1">CONCATENATE(SUMIF($F$6:$F288,$F288,$P288)," / ",SUMIF($F$6:$F$370,$F288,$P$6:$P$370))</f>
        <v>0 / 0</v>
      </c>
      <c r="O288" s="28" t="str">
        <f t="shared" si="29"/>
        <v>0 / 30</v>
      </c>
      <c r="P288" s="245">
        <v>0</v>
      </c>
      <c r="Q288" s="28"/>
      <c r="R288" s="246">
        <v>0</v>
      </c>
      <c r="S288" s="28" t="str">
        <f>CONCATENATE(SUMIF($E$6:$E288,E288,$R$6:$R$370)," / ",SUMIF($E$6:$E$370,E288,$R$6:$R$370))</f>
        <v>0 / 0</v>
      </c>
      <c r="T288" s="28" t="str">
        <f>CONCATENATE(SUMIF($F$6:$F288,$F288,$R$6:$R$370)," / ",SUMIF($F$6:$F$370,$F288,$R$6:$R$370))</f>
        <v>0 / 0</v>
      </c>
      <c r="U288" s="28" t="str">
        <f>CONCATENATE(SUM($R$6:$R288)," / ",SUM($R$6:$R$370))</f>
        <v>0 / 0</v>
      </c>
    </row>
    <row r="289" spans="2:21" ht="13" thickBot="1">
      <c r="B289" s="28"/>
      <c r="C289" s="237">
        <f t="shared" si="30"/>
        <v>42653</v>
      </c>
      <c r="D289" s="35" t="str">
        <f t="shared" si="31"/>
        <v>Lundi</v>
      </c>
      <c r="E289" s="124">
        <f t="shared" si="27"/>
        <v>42</v>
      </c>
      <c r="F289" s="124">
        <f t="shared" si="28"/>
        <v>10</v>
      </c>
      <c r="G289" s="27"/>
      <c r="H289" s="28" t="str">
        <f>CONCATENATE(SUMIF($E$6:$E289,$E289,$K$6:$K$370)," / ",SUMIF($E$6:$E$370,$E289,$K$6:$K653))</f>
        <v>0 / 0</v>
      </c>
      <c r="I289" s="28" t="str">
        <f>CONCATENATE(SUMIF($F$6:$F289,$F289,$K$6:$K653)," / ",SUMIF($F$6:$F$370,$F289,$K$6:$K653))</f>
        <v>0 / 0</v>
      </c>
      <c r="J289" s="28" t="str">
        <f>CONCATENATE(SUM($K$6:$K289)," / ",SUM($K$6:$K$370))</f>
        <v>180,895 / 180,895</v>
      </c>
      <c r="K289" s="245">
        <v>0</v>
      </c>
      <c r="L289" s="28"/>
      <c r="M289" s="28" t="str">
        <f>CONCATENATE(SUMIF($E$6:$E289,$E289,$P$6:$P$370)," / ",SUMIF($E$6:$E$370,$E289,$P$6:$P$370))</f>
        <v>0 / 0</v>
      </c>
      <c r="N289" s="28" t="str">
        <f ca="1">CONCATENATE(SUMIF($F$6:$F289,$F289,$P289)," / ",SUMIF($F$6:$F$370,$F289,$P$6:$P$370))</f>
        <v>0 / 0</v>
      </c>
      <c r="O289" s="28" t="str">
        <f t="shared" si="29"/>
        <v>0 / 30</v>
      </c>
      <c r="P289" s="245">
        <v>0</v>
      </c>
      <c r="Q289" s="28"/>
      <c r="R289" s="246">
        <v>0</v>
      </c>
      <c r="S289" s="28" t="str">
        <f>CONCATENATE(SUMIF($E$6:$E289,E289,$R$6:$R$370)," / ",SUMIF($E$6:$E$370,E289,$R$6:$R$370))</f>
        <v>0 / 0</v>
      </c>
      <c r="T289" s="28" t="str">
        <f>CONCATENATE(SUMIF($F$6:$F289,$F289,$R$6:$R$370)," / ",SUMIF($F$6:$F$370,$F289,$R$6:$R$370))</f>
        <v>0 / 0</v>
      </c>
      <c r="U289" s="28" t="str">
        <f>CONCATENATE(SUM($R$6:$R289)," / ",SUM($R$6:$R$370))</f>
        <v>0 / 0</v>
      </c>
    </row>
    <row r="290" spans="2:21" ht="13" thickBot="1">
      <c r="B290" s="28"/>
      <c r="C290" s="237">
        <f t="shared" si="30"/>
        <v>42654</v>
      </c>
      <c r="D290" s="35" t="str">
        <f t="shared" si="31"/>
        <v>Mardi</v>
      </c>
      <c r="E290" s="124">
        <f t="shared" si="27"/>
        <v>42</v>
      </c>
      <c r="F290" s="124">
        <f t="shared" si="28"/>
        <v>10</v>
      </c>
      <c r="G290" s="27"/>
      <c r="H290" s="28" t="str">
        <f>CONCATENATE(SUMIF($E$6:$E290,$E290,$K$6:$K$370)," / ",SUMIF($E$6:$E$370,$E290,$K$6:$K654))</f>
        <v>0 / 0</v>
      </c>
      <c r="I290" s="28" t="str">
        <f>CONCATENATE(SUMIF($F$6:$F290,$F290,$K$6:$K654)," / ",SUMIF($F$6:$F$370,$F290,$K$6:$K654))</f>
        <v>0 / 0</v>
      </c>
      <c r="J290" s="28" t="str">
        <f>CONCATENATE(SUM($K$6:$K290)," / ",SUM($K$6:$K$370))</f>
        <v>180,895 / 180,895</v>
      </c>
      <c r="K290" s="245">
        <v>0</v>
      </c>
      <c r="L290" s="28"/>
      <c r="M290" s="28" t="str">
        <f>CONCATENATE(SUMIF($E$6:$E290,$E290,$P$6:$P$370)," / ",SUMIF($E$6:$E$370,$E290,$P$6:$P$370))</f>
        <v>0 / 0</v>
      </c>
      <c r="N290" s="28" t="str">
        <f ca="1">CONCATENATE(SUMIF($F$6:$F290,$F290,$P290)," / ",SUMIF($F$6:$F$370,$F290,$P$6:$P$370))</f>
        <v>0 / 0</v>
      </c>
      <c r="O290" s="28" t="str">
        <f t="shared" si="29"/>
        <v>0 / 30</v>
      </c>
      <c r="P290" s="245">
        <v>0</v>
      </c>
      <c r="Q290" s="28"/>
      <c r="R290" s="246">
        <v>0</v>
      </c>
      <c r="S290" s="28" t="str">
        <f>CONCATENATE(SUMIF($E$6:$E290,E290,$R$6:$R$370)," / ",SUMIF($E$6:$E$370,E290,$R$6:$R$370))</f>
        <v>0 / 0</v>
      </c>
      <c r="T290" s="28" t="str">
        <f>CONCATENATE(SUMIF($F$6:$F290,$F290,$R$6:$R$370)," / ",SUMIF($F$6:$F$370,$F290,$R$6:$R$370))</f>
        <v>0 / 0</v>
      </c>
      <c r="U290" s="28" t="str">
        <f>CONCATENATE(SUM($R$6:$R290)," / ",SUM($R$6:$R$370))</f>
        <v>0 / 0</v>
      </c>
    </row>
    <row r="291" spans="2:21" ht="13" thickBot="1">
      <c r="B291" s="28"/>
      <c r="C291" s="237">
        <f t="shared" si="30"/>
        <v>42655</v>
      </c>
      <c r="D291" s="35" t="str">
        <f t="shared" si="31"/>
        <v>Mercredi</v>
      </c>
      <c r="E291" s="124">
        <f t="shared" si="27"/>
        <v>42</v>
      </c>
      <c r="F291" s="124">
        <f t="shared" si="28"/>
        <v>10</v>
      </c>
      <c r="G291" s="27"/>
      <c r="H291" s="28" t="str">
        <f>CONCATENATE(SUMIF($E$6:$E291,$E291,$K$6:$K$370)," / ",SUMIF($E$6:$E$370,$E291,$K$6:$K655))</f>
        <v>0 / 0</v>
      </c>
      <c r="I291" s="28" t="str">
        <f>CONCATENATE(SUMIF($F$6:$F291,$F291,$K$6:$K655)," / ",SUMIF($F$6:$F$370,$F291,$K$6:$K655))</f>
        <v>0 / 0</v>
      </c>
      <c r="J291" s="28" t="str">
        <f>CONCATENATE(SUM($K$6:$K291)," / ",SUM($K$6:$K$370))</f>
        <v>180,895 / 180,895</v>
      </c>
      <c r="K291" s="245">
        <v>0</v>
      </c>
      <c r="L291" s="28"/>
      <c r="M291" s="28" t="str">
        <f>CONCATENATE(SUMIF($E$6:$E291,$E291,$P$6:$P$370)," / ",SUMIF($E$6:$E$370,$E291,$P$6:$P$370))</f>
        <v>0 / 0</v>
      </c>
      <c r="N291" s="28" t="str">
        <f ca="1">CONCATENATE(SUMIF($F$6:$F291,$F291,$P291)," / ",SUMIF($F$6:$F$370,$F291,$P$6:$P$370))</f>
        <v>0 / 0</v>
      </c>
      <c r="O291" s="28" t="str">
        <f t="shared" si="29"/>
        <v>0 / 30</v>
      </c>
      <c r="P291" s="245">
        <v>0</v>
      </c>
      <c r="Q291" s="28"/>
      <c r="R291" s="246">
        <v>0</v>
      </c>
      <c r="S291" s="28" t="str">
        <f>CONCATENATE(SUMIF($E$6:$E291,E291,$R$6:$R$370)," / ",SUMIF($E$6:$E$370,E291,$R$6:$R$370))</f>
        <v>0 / 0</v>
      </c>
      <c r="T291" s="28" t="str">
        <f>CONCATENATE(SUMIF($F$6:$F291,$F291,$R$6:$R$370)," / ",SUMIF($F$6:$F$370,$F291,$R$6:$R$370))</f>
        <v>0 / 0</v>
      </c>
      <c r="U291" s="28" t="str">
        <f>CONCATENATE(SUM($R$6:$R291)," / ",SUM($R$6:$R$370))</f>
        <v>0 / 0</v>
      </c>
    </row>
    <row r="292" spans="2:21" ht="13" thickBot="1">
      <c r="B292" s="28"/>
      <c r="C292" s="237">
        <f t="shared" si="30"/>
        <v>42656</v>
      </c>
      <c r="D292" s="35" t="str">
        <f t="shared" si="31"/>
        <v>Jeudi</v>
      </c>
      <c r="E292" s="124">
        <f t="shared" si="27"/>
        <v>42</v>
      </c>
      <c r="F292" s="124">
        <f t="shared" si="28"/>
        <v>10</v>
      </c>
      <c r="G292" s="27"/>
      <c r="H292" s="28" t="str">
        <f>CONCATENATE(SUMIF($E$6:$E292,$E292,$K$6:$K$370)," / ",SUMIF($E$6:$E$370,$E292,$K$6:$K656))</f>
        <v>0 / 0</v>
      </c>
      <c r="I292" s="28" t="str">
        <f>CONCATENATE(SUMIF($F$6:$F292,$F292,$K$6:$K656)," / ",SUMIF($F$6:$F$370,$F292,$K$6:$K656))</f>
        <v>0 / 0</v>
      </c>
      <c r="J292" s="28" t="str">
        <f>CONCATENATE(SUM($K$6:$K292)," / ",SUM($K$6:$K$370))</f>
        <v>180,895 / 180,895</v>
      </c>
      <c r="K292" s="245">
        <v>0</v>
      </c>
      <c r="L292" s="28"/>
      <c r="M292" s="28" t="str">
        <f>CONCATENATE(SUMIF($E$6:$E292,$E292,$P$6:$P$370)," / ",SUMIF($E$6:$E$370,$E292,$P$6:$P$370))</f>
        <v>0 / 0</v>
      </c>
      <c r="N292" s="28" t="str">
        <f ca="1">CONCATENATE(SUMIF($F$6:$F292,$F292,$P292)," / ",SUMIF($F$6:$F$370,$F292,$P$6:$P$370))</f>
        <v>0 / 0</v>
      </c>
      <c r="O292" s="28" t="str">
        <f t="shared" si="29"/>
        <v>0 / 30</v>
      </c>
      <c r="P292" s="245">
        <v>0</v>
      </c>
      <c r="Q292" s="28"/>
      <c r="R292" s="246">
        <v>0</v>
      </c>
      <c r="S292" s="28" t="str">
        <f>CONCATENATE(SUMIF($E$6:$E292,E292,$R$6:$R$370)," / ",SUMIF($E$6:$E$370,E292,$R$6:$R$370))</f>
        <v>0 / 0</v>
      </c>
      <c r="T292" s="28" t="str">
        <f>CONCATENATE(SUMIF($F$6:$F292,$F292,$R$6:$R$370)," / ",SUMIF($F$6:$F$370,$F292,$R$6:$R$370))</f>
        <v>0 / 0</v>
      </c>
      <c r="U292" s="28" t="str">
        <f>CONCATENATE(SUM($R$6:$R292)," / ",SUM($R$6:$R$370))</f>
        <v>0 / 0</v>
      </c>
    </row>
    <row r="293" spans="2:21" ht="13" thickBot="1">
      <c r="B293" s="28"/>
      <c r="C293" s="237">
        <f t="shared" si="30"/>
        <v>42657</v>
      </c>
      <c r="D293" s="35" t="str">
        <f t="shared" si="31"/>
        <v>Vendredi</v>
      </c>
      <c r="E293" s="124">
        <f t="shared" si="27"/>
        <v>42</v>
      </c>
      <c r="F293" s="124">
        <f t="shared" si="28"/>
        <v>10</v>
      </c>
      <c r="G293" s="27"/>
      <c r="H293" s="28" t="str">
        <f>CONCATENATE(SUMIF($E$6:$E293,$E293,$K$6:$K$370)," / ",SUMIF($E$6:$E$370,$E293,$K$6:$K657))</f>
        <v>0 / 0</v>
      </c>
      <c r="I293" s="28" t="str">
        <f>CONCATENATE(SUMIF($F$6:$F293,$F293,$K$6:$K657)," / ",SUMIF($F$6:$F$370,$F293,$K$6:$K657))</f>
        <v>0 / 0</v>
      </c>
      <c r="J293" s="28" t="str">
        <f>CONCATENATE(SUM($K$6:$K293)," / ",SUM($K$6:$K$370))</f>
        <v>180,895 / 180,895</v>
      </c>
      <c r="K293" s="245">
        <v>0</v>
      </c>
      <c r="L293" s="28"/>
      <c r="M293" s="28" t="str">
        <f>CONCATENATE(SUMIF($E$6:$E293,$E293,$P$6:$P$370)," / ",SUMIF($E$6:$E$370,$E293,$P$6:$P$370))</f>
        <v>0 / 0</v>
      </c>
      <c r="N293" s="28" t="str">
        <f ca="1">CONCATENATE(SUMIF($F$6:$F293,$F293,$P293)," / ",SUMIF($F$6:$F$370,$F293,$P$6:$P$370))</f>
        <v>0 / 0</v>
      </c>
      <c r="O293" s="28" t="str">
        <f t="shared" si="29"/>
        <v>0 / 30</v>
      </c>
      <c r="P293" s="245">
        <v>0</v>
      </c>
      <c r="Q293" s="28"/>
      <c r="R293" s="246">
        <v>0</v>
      </c>
      <c r="S293" s="28" t="str">
        <f>CONCATENATE(SUMIF($E$6:$E293,E293,$R$6:$R$370)," / ",SUMIF($E$6:$E$370,E293,$R$6:$R$370))</f>
        <v>0 / 0</v>
      </c>
      <c r="T293" s="28" t="str">
        <f>CONCATENATE(SUMIF($F$6:$F293,$F293,$R$6:$R$370)," / ",SUMIF($F$6:$F$370,$F293,$R$6:$R$370))</f>
        <v>0 / 0</v>
      </c>
      <c r="U293" s="28" t="str">
        <f>CONCATENATE(SUM($R$6:$R293)," / ",SUM($R$6:$R$370))</f>
        <v>0 / 0</v>
      </c>
    </row>
    <row r="294" spans="2:21" ht="13" thickBot="1">
      <c r="B294" s="28"/>
      <c r="C294" s="237">
        <f t="shared" si="30"/>
        <v>42658</v>
      </c>
      <c r="D294" s="35" t="str">
        <f t="shared" si="31"/>
        <v>samedi</v>
      </c>
      <c r="E294" s="124">
        <f t="shared" si="27"/>
        <v>42</v>
      </c>
      <c r="F294" s="124">
        <f t="shared" si="28"/>
        <v>10</v>
      </c>
      <c r="G294" s="27"/>
      <c r="H294" s="28" t="str">
        <f>CONCATENATE(SUMIF($E$6:$E294,$E294,$K$6:$K$370)," / ",SUMIF($E$6:$E$370,$E294,$K$6:$K658))</f>
        <v>0 / 0</v>
      </c>
      <c r="I294" s="28" t="str">
        <f>CONCATENATE(SUMIF($F$6:$F294,$F294,$K$6:$K658)," / ",SUMIF($F$6:$F$370,$F294,$K$6:$K658))</f>
        <v>0 / 0</v>
      </c>
      <c r="J294" s="28" t="str">
        <f>CONCATENATE(SUM($K$6:$K294)," / ",SUM($K$6:$K$370))</f>
        <v>180,895 / 180,895</v>
      </c>
      <c r="K294" s="245">
        <v>0</v>
      </c>
      <c r="L294" s="28"/>
      <c r="M294" s="28" t="str">
        <f>CONCATENATE(SUMIF($E$6:$E294,$E294,$P$6:$P$370)," / ",SUMIF($E$6:$E$370,$E294,$P$6:$P$370))</f>
        <v>0 / 0</v>
      </c>
      <c r="N294" s="28" t="str">
        <f ca="1">CONCATENATE(SUMIF($F$6:$F294,$F294,$P294)," / ",SUMIF($F$6:$F$370,$F294,$P$6:$P$370))</f>
        <v>0 / 0</v>
      </c>
      <c r="O294" s="28" t="str">
        <f t="shared" si="29"/>
        <v>0 / 30</v>
      </c>
      <c r="P294" s="245">
        <v>0</v>
      </c>
      <c r="Q294" s="28"/>
      <c r="R294" s="246">
        <v>0</v>
      </c>
      <c r="S294" s="28" t="str">
        <f>CONCATENATE(SUMIF($E$6:$E294,E294,$R$6:$R$370)," / ",SUMIF($E$6:$E$370,E294,$R$6:$R$370))</f>
        <v>0 / 0</v>
      </c>
      <c r="T294" s="28" t="str">
        <f>CONCATENATE(SUMIF($F$6:$F294,$F294,$R$6:$R$370)," / ",SUMIF($F$6:$F$370,$F294,$R$6:$R$370))</f>
        <v>0 / 0</v>
      </c>
      <c r="U294" s="28" t="str">
        <f>CONCATENATE(SUM($R$6:$R294)," / ",SUM($R$6:$R$370))</f>
        <v>0 / 0</v>
      </c>
    </row>
    <row r="295" spans="2:21" ht="13" thickBot="1">
      <c r="B295" s="28"/>
      <c r="C295" s="237">
        <f t="shared" si="30"/>
        <v>42659</v>
      </c>
      <c r="D295" s="35" t="str">
        <f t="shared" si="31"/>
        <v>Dimanche</v>
      </c>
      <c r="E295" s="124">
        <f t="shared" si="27"/>
        <v>43</v>
      </c>
      <c r="F295" s="124">
        <f t="shared" si="28"/>
        <v>10</v>
      </c>
      <c r="G295" s="27"/>
      <c r="H295" s="28" t="str">
        <f>CONCATENATE(SUMIF($E$6:$E295,$E295,$K$6:$K$370)," / ",SUMIF($E$6:$E$370,$E295,$K$6:$K659))</f>
        <v>0 / 0</v>
      </c>
      <c r="I295" s="28" t="str">
        <f>CONCATENATE(SUMIF($F$6:$F295,$F295,$K$6:$K659)," / ",SUMIF($F$6:$F$370,$F295,$K$6:$K659))</f>
        <v>0 / 0</v>
      </c>
      <c r="J295" s="28" t="str">
        <f>CONCATENATE(SUM($K$6:$K295)," / ",SUM($K$6:$K$370))</f>
        <v>180,895 / 180,895</v>
      </c>
      <c r="K295" s="245">
        <v>0</v>
      </c>
      <c r="L295" s="28"/>
      <c r="M295" s="28" t="str">
        <f>CONCATENATE(SUMIF($E$6:$E295,$E295,$P$6:$P$370)," / ",SUMIF($E$6:$E$370,$E295,$P$6:$P$370))</f>
        <v>0 / 0</v>
      </c>
      <c r="N295" s="28" t="str">
        <f ca="1">CONCATENATE(SUMIF($F$6:$F295,$F295,$P295)," / ",SUMIF($F$6:$F$370,$F295,$P$6:$P$370))</f>
        <v>0 / 0</v>
      </c>
      <c r="O295" s="28" t="str">
        <f t="shared" si="29"/>
        <v>0 / 30</v>
      </c>
      <c r="P295" s="245">
        <v>0</v>
      </c>
      <c r="Q295" s="28"/>
      <c r="R295" s="246">
        <v>0</v>
      </c>
      <c r="S295" s="28" t="str">
        <f>CONCATENATE(SUMIF($E$6:$E295,E295,$R$6:$R$370)," / ",SUMIF($E$6:$E$370,E295,$R$6:$R$370))</f>
        <v>0 / 0</v>
      </c>
      <c r="T295" s="28" t="str">
        <f>CONCATENATE(SUMIF($F$6:$F295,$F295,$R$6:$R$370)," / ",SUMIF($F$6:$F$370,$F295,$R$6:$R$370))</f>
        <v>0 / 0</v>
      </c>
      <c r="U295" s="28" t="str">
        <f>CONCATENATE(SUM($R$6:$R295)," / ",SUM($R$6:$R$370))</f>
        <v>0 / 0</v>
      </c>
    </row>
    <row r="296" spans="2:21" ht="13" thickBot="1">
      <c r="B296" s="28"/>
      <c r="C296" s="237">
        <f t="shared" si="30"/>
        <v>42660</v>
      </c>
      <c r="D296" s="35" t="str">
        <f t="shared" si="31"/>
        <v>Lundi</v>
      </c>
      <c r="E296" s="124">
        <f t="shared" si="27"/>
        <v>43</v>
      </c>
      <c r="F296" s="124">
        <f t="shared" si="28"/>
        <v>10</v>
      </c>
      <c r="G296" s="27"/>
      <c r="H296" s="28" t="str">
        <f>CONCATENATE(SUMIF($E$6:$E296,$E296,$K$6:$K$370)," / ",SUMIF($E$6:$E$370,$E296,$K$6:$K660))</f>
        <v>0 / 0</v>
      </c>
      <c r="I296" s="28" t="str">
        <f>CONCATENATE(SUMIF($F$6:$F296,$F296,$K$6:$K660)," / ",SUMIF($F$6:$F$370,$F296,$K$6:$K660))</f>
        <v>0 / 0</v>
      </c>
      <c r="J296" s="28" t="str">
        <f>CONCATENATE(SUM($K$6:$K296)," / ",SUM($K$6:$K$370))</f>
        <v>180,895 / 180,895</v>
      </c>
      <c r="K296" s="245">
        <v>0</v>
      </c>
      <c r="L296" s="28"/>
      <c r="M296" s="28" t="str">
        <f>CONCATENATE(SUMIF($E$6:$E296,$E296,$P$6:$P$370)," / ",SUMIF($E$6:$E$370,$E296,$P$6:$P$370))</f>
        <v>0 / 0</v>
      </c>
      <c r="N296" s="28" t="str">
        <f ca="1">CONCATENATE(SUMIF($F$6:$F296,$F296,$P296)," / ",SUMIF($F$6:$F$370,$F296,$P$6:$P$370))</f>
        <v>0 / 0</v>
      </c>
      <c r="O296" s="28" t="str">
        <f t="shared" si="29"/>
        <v>0 / 30</v>
      </c>
      <c r="P296" s="245">
        <v>0</v>
      </c>
      <c r="Q296" s="28"/>
      <c r="R296" s="246">
        <v>0</v>
      </c>
      <c r="S296" s="28" t="str">
        <f>CONCATENATE(SUMIF($E$6:$E296,E296,$R$6:$R$370)," / ",SUMIF($E$6:$E$370,E296,$R$6:$R$370))</f>
        <v>0 / 0</v>
      </c>
      <c r="T296" s="28" t="str">
        <f>CONCATENATE(SUMIF($F$6:$F296,$F296,$R$6:$R$370)," / ",SUMIF($F$6:$F$370,$F296,$R$6:$R$370))</f>
        <v>0 / 0</v>
      </c>
      <c r="U296" s="28" t="str">
        <f>CONCATENATE(SUM($R$6:$R296)," / ",SUM($R$6:$R$370))</f>
        <v>0 / 0</v>
      </c>
    </row>
    <row r="297" spans="2:21" ht="13" thickBot="1">
      <c r="B297" s="28"/>
      <c r="C297" s="237">
        <f t="shared" si="30"/>
        <v>42661</v>
      </c>
      <c r="D297" s="35" t="str">
        <f t="shared" si="31"/>
        <v>Mardi</v>
      </c>
      <c r="E297" s="124">
        <f t="shared" si="27"/>
        <v>43</v>
      </c>
      <c r="F297" s="124">
        <f t="shared" si="28"/>
        <v>10</v>
      </c>
      <c r="G297" s="27"/>
      <c r="H297" s="28" t="str">
        <f>CONCATENATE(SUMIF($E$6:$E297,$E297,$K$6:$K$370)," / ",SUMIF($E$6:$E$370,$E297,$K$6:$K661))</f>
        <v>0 / 0</v>
      </c>
      <c r="I297" s="28" t="str">
        <f>CONCATENATE(SUMIF($F$6:$F297,$F297,$K$6:$K661)," / ",SUMIF($F$6:$F$370,$F297,$K$6:$K661))</f>
        <v>0 / 0</v>
      </c>
      <c r="J297" s="28" t="str">
        <f>CONCATENATE(SUM($K$6:$K297)," / ",SUM($K$6:$K$370))</f>
        <v>180,895 / 180,895</v>
      </c>
      <c r="K297" s="245">
        <v>0</v>
      </c>
      <c r="L297" s="28"/>
      <c r="M297" s="28" t="str">
        <f>CONCATENATE(SUMIF($E$6:$E297,$E297,$P$6:$P$370)," / ",SUMIF($E$6:$E$370,$E297,$P$6:$P$370))</f>
        <v>0 / 0</v>
      </c>
      <c r="N297" s="28" t="str">
        <f ca="1">CONCATENATE(SUMIF($F$6:$F297,$F297,$P297)," / ",SUMIF($F$6:$F$370,$F297,$P$6:$P$370))</f>
        <v>0 / 0</v>
      </c>
      <c r="O297" s="28" t="str">
        <f t="shared" si="29"/>
        <v>0 / 30</v>
      </c>
      <c r="P297" s="245">
        <v>0</v>
      </c>
      <c r="Q297" s="28"/>
      <c r="R297" s="246">
        <v>0</v>
      </c>
      <c r="S297" s="28" t="str">
        <f>CONCATENATE(SUMIF($E$6:$E297,E297,$R$6:$R$370)," / ",SUMIF($E$6:$E$370,E297,$R$6:$R$370))</f>
        <v>0 / 0</v>
      </c>
      <c r="T297" s="28" t="str">
        <f>CONCATENATE(SUMIF($F$6:$F297,$F297,$R$6:$R$370)," / ",SUMIF($F$6:$F$370,$F297,$R$6:$R$370))</f>
        <v>0 / 0</v>
      </c>
      <c r="U297" s="28" t="str">
        <f>CONCATENATE(SUM($R$6:$R297)," / ",SUM($R$6:$R$370))</f>
        <v>0 / 0</v>
      </c>
    </row>
    <row r="298" spans="2:21" ht="13" thickBot="1">
      <c r="B298" s="28"/>
      <c r="C298" s="237">
        <f t="shared" si="30"/>
        <v>42662</v>
      </c>
      <c r="D298" s="35" t="str">
        <f t="shared" si="31"/>
        <v>Mercredi</v>
      </c>
      <c r="E298" s="124">
        <f t="shared" si="27"/>
        <v>43</v>
      </c>
      <c r="F298" s="124">
        <f t="shared" si="28"/>
        <v>10</v>
      </c>
      <c r="G298" s="27"/>
      <c r="H298" s="28" t="str">
        <f>CONCATENATE(SUMIF($E$6:$E298,$E298,$K$6:$K$370)," / ",SUMIF($E$6:$E$370,$E298,$K$6:$K662))</f>
        <v>0 / 0</v>
      </c>
      <c r="I298" s="28" t="str">
        <f>CONCATENATE(SUMIF($F$6:$F298,$F298,$K$6:$K662)," / ",SUMIF($F$6:$F$370,$F298,$K$6:$K662))</f>
        <v>0 / 0</v>
      </c>
      <c r="J298" s="28" t="str">
        <f>CONCATENATE(SUM($K$6:$K298)," / ",SUM($K$6:$K$370))</f>
        <v>180,895 / 180,895</v>
      </c>
      <c r="K298" s="245">
        <v>0</v>
      </c>
      <c r="L298" s="28"/>
      <c r="M298" s="28" t="str">
        <f>CONCATENATE(SUMIF($E$6:$E298,$E298,$P$6:$P$370)," / ",SUMIF($E$6:$E$370,$E298,$P$6:$P$370))</f>
        <v>0 / 0</v>
      </c>
      <c r="N298" s="28" t="str">
        <f ca="1">CONCATENATE(SUMIF($F$6:$F298,$F298,$P298)," / ",SUMIF($F$6:$F$370,$F298,$P$6:$P$370))</f>
        <v>0 / 0</v>
      </c>
      <c r="O298" s="28" t="str">
        <f t="shared" si="29"/>
        <v>0 / 30</v>
      </c>
      <c r="P298" s="245">
        <v>0</v>
      </c>
      <c r="Q298" s="28"/>
      <c r="R298" s="246">
        <v>0</v>
      </c>
      <c r="S298" s="28" t="str">
        <f>CONCATENATE(SUMIF($E$6:$E298,E298,$R$6:$R$370)," / ",SUMIF($E$6:$E$370,E298,$R$6:$R$370))</f>
        <v>0 / 0</v>
      </c>
      <c r="T298" s="28" t="str">
        <f>CONCATENATE(SUMIF($F$6:$F298,$F298,$R$6:$R$370)," / ",SUMIF($F$6:$F$370,$F298,$R$6:$R$370))</f>
        <v>0 / 0</v>
      </c>
      <c r="U298" s="28" t="str">
        <f>CONCATENATE(SUM($R$6:$R298)," / ",SUM($R$6:$R$370))</f>
        <v>0 / 0</v>
      </c>
    </row>
    <row r="299" spans="2:21" ht="13" thickBot="1">
      <c r="B299" s="28"/>
      <c r="C299" s="237">
        <f t="shared" si="30"/>
        <v>42663</v>
      </c>
      <c r="D299" s="35" t="str">
        <f t="shared" si="31"/>
        <v>Jeudi</v>
      </c>
      <c r="E299" s="124">
        <f t="shared" si="27"/>
        <v>43</v>
      </c>
      <c r="F299" s="124">
        <f t="shared" si="28"/>
        <v>10</v>
      </c>
      <c r="G299" s="27"/>
      <c r="H299" s="28" t="str">
        <f>CONCATENATE(SUMIF($E$6:$E299,$E299,$K$6:$K$370)," / ",SUMIF($E$6:$E$370,$E299,$K$6:$K663))</f>
        <v>0 / 0</v>
      </c>
      <c r="I299" s="28" t="str">
        <f>CONCATENATE(SUMIF($F$6:$F299,$F299,$K$6:$K663)," / ",SUMIF($F$6:$F$370,$F299,$K$6:$K663))</f>
        <v>0 / 0</v>
      </c>
      <c r="J299" s="28" t="str">
        <f>CONCATENATE(SUM($K$6:$K299)," / ",SUM($K$6:$K$370))</f>
        <v>180,895 / 180,895</v>
      </c>
      <c r="K299" s="245">
        <v>0</v>
      </c>
      <c r="L299" s="28"/>
      <c r="M299" s="28" t="str">
        <f>CONCATENATE(SUMIF($E$6:$E299,$E299,$P$6:$P$370)," / ",SUMIF($E$6:$E$370,$E299,$P$6:$P$370))</f>
        <v>0 / 0</v>
      </c>
      <c r="N299" s="28" t="str">
        <f ca="1">CONCATENATE(SUMIF($F$6:$F299,$F299,$P299)," / ",SUMIF($F$6:$F$370,$F299,$P$6:$P$370))</f>
        <v>0 / 0</v>
      </c>
      <c r="O299" s="28" t="str">
        <f t="shared" si="29"/>
        <v>0 / 30</v>
      </c>
      <c r="P299" s="245">
        <v>0</v>
      </c>
      <c r="Q299" s="28"/>
      <c r="R299" s="246">
        <v>0</v>
      </c>
      <c r="S299" s="28" t="str">
        <f>CONCATENATE(SUMIF($E$6:$E299,E299,$R$6:$R$370)," / ",SUMIF($E$6:$E$370,E299,$R$6:$R$370))</f>
        <v>0 / 0</v>
      </c>
      <c r="T299" s="28" t="str">
        <f>CONCATENATE(SUMIF($F$6:$F299,$F299,$R$6:$R$370)," / ",SUMIF($F$6:$F$370,$F299,$R$6:$R$370))</f>
        <v>0 / 0</v>
      </c>
      <c r="U299" s="28" t="str">
        <f>CONCATENATE(SUM($R$6:$R299)," / ",SUM($R$6:$R$370))</f>
        <v>0 / 0</v>
      </c>
    </row>
    <row r="300" spans="2:21" ht="13" thickBot="1">
      <c r="B300" s="28"/>
      <c r="C300" s="237">
        <f t="shared" si="30"/>
        <v>42664</v>
      </c>
      <c r="D300" s="35" t="str">
        <f t="shared" si="31"/>
        <v>Vendredi</v>
      </c>
      <c r="E300" s="124">
        <f t="shared" si="27"/>
        <v>43</v>
      </c>
      <c r="F300" s="124">
        <f t="shared" si="28"/>
        <v>10</v>
      </c>
      <c r="G300" s="27"/>
      <c r="H300" s="28" t="str">
        <f>CONCATENATE(SUMIF($E$6:$E300,$E300,$K$6:$K$370)," / ",SUMIF($E$6:$E$370,$E300,$K$6:$K664))</f>
        <v>0 / 0</v>
      </c>
      <c r="I300" s="28" t="str">
        <f>CONCATENATE(SUMIF($F$6:$F300,$F300,$K$6:$K664)," / ",SUMIF($F$6:$F$370,$F300,$K$6:$K664))</f>
        <v>0 / 0</v>
      </c>
      <c r="J300" s="28" t="str">
        <f>CONCATENATE(SUM($K$6:$K300)," / ",SUM($K$6:$K$370))</f>
        <v>180,895 / 180,895</v>
      </c>
      <c r="K300" s="245">
        <v>0</v>
      </c>
      <c r="L300" s="28"/>
      <c r="M300" s="28" t="str">
        <f>CONCATENATE(SUMIF($E$6:$E300,$E300,$P$6:$P$370)," / ",SUMIF($E$6:$E$370,$E300,$P$6:$P$370))</f>
        <v>0 / 0</v>
      </c>
      <c r="N300" s="28" t="str">
        <f ca="1">CONCATENATE(SUMIF($F$6:$F300,$F300,$P300)," / ",SUMIF($F$6:$F$370,$F300,$P$6:$P$370))</f>
        <v>0 / 0</v>
      </c>
      <c r="O300" s="28" t="str">
        <f t="shared" si="29"/>
        <v>0 / 30</v>
      </c>
      <c r="P300" s="245">
        <v>0</v>
      </c>
      <c r="Q300" s="28"/>
      <c r="R300" s="246">
        <v>0</v>
      </c>
      <c r="S300" s="28" t="str">
        <f>CONCATENATE(SUMIF($E$6:$E300,E300,$R$6:$R$370)," / ",SUMIF($E$6:$E$370,E300,$R$6:$R$370))</f>
        <v>0 / 0</v>
      </c>
      <c r="T300" s="28" t="str">
        <f>CONCATENATE(SUMIF($F$6:$F300,$F300,$R$6:$R$370)," / ",SUMIF($F$6:$F$370,$F300,$R$6:$R$370))</f>
        <v>0 / 0</v>
      </c>
      <c r="U300" s="28" t="str">
        <f>CONCATENATE(SUM($R$6:$R300)," / ",SUM($R$6:$R$370))</f>
        <v>0 / 0</v>
      </c>
    </row>
    <row r="301" spans="2:21" ht="13" thickBot="1">
      <c r="B301" s="28"/>
      <c r="C301" s="237">
        <f t="shared" si="30"/>
        <v>42665</v>
      </c>
      <c r="D301" s="35" t="str">
        <f t="shared" si="31"/>
        <v>samedi</v>
      </c>
      <c r="E301" s="124">
        <f t="shared" si="27"/>
        <v>43</v>
      </c>
      <c r="F301" s="124">
        <f t="shared" si="28"/>
        <v>10</v>
      </c>
      <c r="G301" s="27"/>
      <c r="H301" s="28" t="str">
        <f>CONCATENATE(SUMIF($E$6:$E301,$E301,$K$6:$K$370)," / ",SUMIF($E$6:$E$370,$E301,$K$6:$K665))</f>
        <v>0 / 0</v>
      </c>
      <c r="I301" s="28" t="str">
        <f>CONCATENATE(SUMIF($F$6:$F301,$F301,$K$6:$K665)," / ",SUMIF($F$6:$F$370,$F301,$K$6:$K665))</f>
        <v>0 / 0</v>
      </c>
      <c r="J301" s="28" t="str">
        <f>CONCATENATE(SUM($K$6:$K301)," / ",SUM($K$6:$K$370))</f>
        <v>180,895 / 180,895</v>
      </c>
      <c r="K301" s="245">
        <v>0</v>
      </c>
      <c r="L301" s="28"/>
      <c r="M301" s="28" t="str">
        <f>CONCATENATE(SUMIF($E$6:$E301,$E301,$P$6:$P$370)," / ",SUMIF($E$6:$E$370,$E301,$P$6:$P$370))</f>
        <v>0 / 0</v>
      </c>
      <c r="N301" s="28" t="str">
        <f ca="1">CONCATENATE(SUMIF($F$6:$F301,$F301,$P301)," / ",SUMIF($F$6:$F$370,$F301,$P$6:$P$370))</f>
        <v>0 / 0</v>
      </c>
      <c r="O301" s="28" t="str">
        <f t="shared" si="29"/>
        <v>0 / 30</v>
      </c>
      <c r="P301" s="245">
        <v>0</v>
      </c>
      <c r="Q301" s="28"/>
      <c r="R301" s="246">
        <v>0</v>
      </c>
      <c r="S301" s="28" t="str">
        <f>CONCATENATE(SUMIF($E$6:$E301,E301,$R$6:$R$370)," / ",SUMIF($E$6:$E$370,E301,$R$6:$R$370))</f>
        <v>0 / 0</v>
      </c>
      <c r="T301" s="28" t="str">
        <f>CONCATENATE(SUMIF($F$6:$F301,$F301,$R$6:$R$370)," / ",SUMIF($F$6:$F$370,$F301,$R$6:$R$370))</f>
        <v>0 / 0</v>
      </c>
      <c r="U301" s="28" t="str">
        <f>CONCATENATE(SUM($R$6:$R301)," / ",SUM($R$6:$R$370))</f>
        <v>0 / 0</v>
      </c>
    </row>
    <row r="302" spans="2:21" ht="13" thickBot="1">
      <c r="B302" s="28"/>
      <c r="C302" s="237">
        <f t="shared" si="30"/>
        <v>42666</v>
      </c>
      <c r="D302" s="35" t="str">
        <f t="shared" si="31"/>
        <v>Dimanche</v>
      </c>
      <c r="E302" s="124">
        <f t="shared" si="27"/>
        <v>44</v>
      </c>
      <c r="F302" s="124">
        <f t="shared" si="28"/>
        <v>10</v>
      </c>
      <c r="G302" s="27"/>
      <c r="H302" s="28" t="str">
        <f>CONCATENATE(SUMIF($E$6:$E302,$E302,$K$6:$K$370)," / ",SUMIF($E$6:$E$370,$E302,$K$6:$K666))</f>
        <v>0 / 0</v>
      </c>
      <c r="I302" s="28" t="str">
        <f>CONCATENATE(SUMIF($F$6:$F302,$F302,$K$6:$K666)," / ",SUMIF($F$6:$F$370,$F302,$K$6:$K666))</f>
        <v>0 / 0</v>
      </c>
      <c r="J302" s="28" t="str">
        <f>CONCATENATE(SUM($K$6:$K302)," / ",SUM($K$6:$K$370))</f>
        <v>180,895 / 180,895</v>
      </c>
      <c r="K302" s="245">
        <v>0</v>
      </c>
      <c r="L302" s="28"/>
      <c r="M302" s="28" t="str">
        <f>CONCATENATE(SUMIF($E$6:$E302,$E302,$P$6:$P$370)," / ",SUMIF($E$6:$E$370,$E302,$P$6:$P$370))</f>
        <v>0 / 0</v>
      </c>
      <c r="N302" s="28" t="str">
        <f ca="1">CONCATENATE(SUMIF($F$6:$F302,$F302,$P302)," / ",SUMIF($F$6:$F$370,$F302,$P$6:$P$370))</f>
        <v>0 / 0</v>
      </c>
      <c r="O302" s="28" t="str">
        <f t="shared" si="29"/>
        <v>0 / 30</v>
      </c>
      <c r="P302" s="245">
        <v>0</v>
      </c>
      <c r="Q302" s="28"/>
      <c r="R302" s="246">
        <v>0</v>
      </c>
      <c r="S302" s="28" t="str">
        <f>CONCATENATE(SUMIF($E$6:$E302,E302,$R$6:$R$370)," / ",SUMIF($E$6:$E$370,E302,$R$6:$R$370))</f>
        <v>0 / 0</v>
      </c>
      <c r="T302" s="28" t="str">
        <f>CONCATENATE(SUMIF($F$6:$F302,$F302,$R$6:$R$370)," / ",SUMIF($F$6:$F$370,$F302,$R$6:$R$370))</f>
        <v>0 / 0</v>
      </c>
      <c r="U302" s="28" t="str">
        <f>CONCATENATE(SUM($R$6:$R302)," / ",SUM($R$6:$R$370))</f>
        <v>0 / 0</v>
      </c>
    </row>
    <row r="303" spans="2:21" ht="13" thickBot="1">
      <c r="B303" s="28"/>
      <c r="C303" s="237">
        <f t="shared" si="30"/>
        <v>42667</v>
      </c>
      <c r="D303" s="35" t="str">
        <f t="shared" si="31"/>
        <v>Lundi</v>
      </c>
      <c r="E303" s="124">
        <f t="shared" si="27"/>
        <v>44</v>
      </c>
      <c r="F303" s="124">
        <f t="shared" si="28"/>
        <v>10</v>
      </c>
      <c r="G303" s="27"/>
      <c r="H303" s="28" t="str">
        <f>CONCATENATE(SUMIF($E$6:$E303,$E303,$K$6:$K$370)," / ",SUMIF($E$6:$E$370,$E303,$K$6:$K667))</f>
        <v>0 / 0</v>
      </c>
      <c r="I303" s="28" t="str">
        <f>CONCATENATE(SUMIF($F$6:$F303,$F303,$K$6:$K667)," / ",SUMIF($F$6:$F$370,$F303,$K$6:$K667))</f>
        <v>0 / 0</v>
      </c>
      <c r="J303" s="28" t="str">
        <f>CONCATENATE(SUM($K$6:$K303)," / ",SUM($K$6:$K$370))</f>
        <v>180,895 / 180,895</v>
      </c>
      <c r="K303" s="245">
        <v>0</v>
      </c>
      <c r="L303" s="28"/>
      <c r="M303" s="28" t="str">
        <f>CONCATENATE(SUMIF($E$6:$E303,$E303,$P$6:$P$370)," / ",SUMIF($E$6:$E$370,$E303,$P$6:$P$370))</f>
        <v>0 / 0</v>
      </c>
      <c r="N303" s="28" t="str">
        <f ca="1">CONCATENATE(SUMIF($F$6:$F303,$F303,$P303)," / ",SUMIF($F$6:$F$370,$F303,$P$6:$P$370))</f>
        <v>0 / 0</v>
      </c>
      <c r="O303" s="28" t="str">
        <f t="shared" si="29"/>
        <v>0 / 30</v>
      </c>
      <c r="P303" s="245">
        <v>0</v>
      </c>
      <c r="Q303" s="28"/>
      <c r="R303" s="246">
        <v>0</v>
      </c>
      <c r="S303" s="28" t="str">
        <f>CONCATENATE(SUMIF($E$6:$E303,E303,$R$6:$R$370)," / ",SUMIF($E$6:$E$370,E303,$R$6:$R$370))</f>
        <v>0 / 0</v>
      </c>
      <c r="T303" s="28" t="str">
        <f>CONCATENATE(SUMIF($F$6:$F303,$F303,$R$6:$R$370)," / ",SUMIF($F$6:$F$370,$F303,$R$6:$R$370))</f>
        <v>0 / 0</v>
      </c>
      <c r="U303" s="28" t="str">
        <f>CONCATENATE(SUM($R$6:$R303)," / ",SUM($R$6:$R$370))</f>
        <v>0 / 0</v>
      </c>
    </row>
    <row r="304" spans="2:21" ht="13" thickBot="1">
      <c r="B304" s="28"/>
      <c r="C304" s="237">
        <f t="shared" si="30"/>
        <v>42668</v>
      </c>
      <c r="D304" s="35" t="str">
        <f t="shared" si="31"/>
        <v>Mardi</v>
      </c>
      <c r="E304" s="124">
        <f t="shared" si="27"/>
        <v>44</v>
      </c>
      <c r="F304" s="124">
        <f t="shared" si="28"/>
        <v>10</v>
      </c>
      <c r="G304" s="27"/>
      <c r="H304" s="28" t="str">
        <f>CONCATENATE(SUMIF($E$6:$E304,$E304,$K$6:$K$370)," / ",SUMIF($E$6:$E$370,$E304,$K$6:$K668))</f>
        <v>0 / 0</v>
      </c>
      <c r="I304" s="28" t="str">
        <f>CONCATENATE(SUMIF($F$6:$F304,$F304,$K$6:$K668)," / ",SUMIF($F$6:$F$370,$F304,$K$6:$K668))</f>
        <v>0 / 0</v>
      </c>
      <c r="J304" s="28" t="str">
        <f>CONCATENATE(SUM($K$6:$K304)," / ",SUM($K$6:$K$370))</f>
        <v>180,895 / 180,895</v>
      </c>
      <c r="K304" s="245">
        <v>0</v>
      </c>
      <c r="L304" s="28"/>
      <c r="M304" s="28" t="str">
        <f>CONCATENATE(SUMIF($E$6:$E304,$E304,$P$6:$P$370)," / ",SUMIF($E$6:$E$370,$E304,$P$6:$P$370))</f>
        <v>0 / 0</v>
      </c>
      <c r="N304" s="28" t="str">
        <f ca="1">CONCATENATE(SUMIF($F$6:$F304,$F304,$P304)," / ",SUMIF($F$6:$F$370,$F304,$P$6:$P$370))</f>
        <v>0 / 0</v>
      </c>
      <c r="O304" s="28" t="str">
        <f t="shared" si="29"/>
        <v>0 / 30</v>
      </c>
      <c r="P304" s="245">
        <v>0</v>
      </c>
      <c r="Q304" s="28"/>
      <c r="R304" s="246">
        <v>0</v>
      </c>
      <c r="S304" s="28" t="str">
        <f>CONCATENATE(SUMIF($E$6:$E304,E304,$R$6:$R$370)," / ",SUMIF($E$6:$E$370,E304,$R$6:$R$370))</f>
        <v>0 / 0</v>
      </c>
      <c r="T304" s="28" t="str">
        <f>CONCATENATE(SUMIF($F$6:$F304,$F304,$R$6:$R$370)," / ",SUMIF($F$6:$F$370,$F304,$R$6:$R$370))</f>
        <v>0 / 0</v>
      </c>
      <c r="U304" s="28" t="str">
        <f>CONCATENATE(SUM($R$6:$R304)," / ",SUM($R$6:$R$370))</f>
        <v>0 / 0</v>
      </c>
    </row>
    <row r="305" spans="2:21" ht="13" thickBot="1">
      <c r="B305" s="28"/>
      <c r="C305" s="237">
        <f t="shared" si="30"/>
        <v>42669</v>
      </c>
      <c r="D305" s="35" t="str">
        <f t="shared" si="31"/>
        <v>Mercredi</v>
      </c>
      <c r="E305" s="124">
        <f t="shared" si="27"/>
        <v>44</v>
      </c>
      <c r="F305" s="124">
        <f t="shared" si="28"/>
        <v>10</v>
      </c>
      <c r="G305" s="27"/>
      <c r="H305" s="28" t="str">
        <f>CONCATENATE(SUMIF($E$6:$E305,$E305,$K$6:$K$370)," / ",SUMIF($E$6:$E$370,$E305,$K$6:$K669))</f>
        <v>0 / 0</v>
      </c>
      <c r="I305" s="28" t="str">
        <f>CONCATENATE(SUMIF($F$6:$F305,$F305,$K$6:$K669)," / ",SUMIF($F$6:$F$370,$F305,$K$6:$K669))</f>
        <v>0 / 0</v>
      </c>
      <c r="J305" s="28" t="str">
        <f>CONCATENATE(SUM($K$6:$K305)," / ",SUM($K$6:$K$370))</f>
        <v>180,895 / 180,895</v>
      </c>
      <c r="K305" s="245">
        <v>0</v>
      </c>
      <c r="L305" s="28"/>
      <c r="M305" s="28" t="str">
        <f>CONCATENATE(SUMIF($E$6:$E305,$E305,$P$6:$P$370)," / ",SUMIF($E$6:$E$370,$E305,$P$6:$P$370))</f>
        <v>0 / 0</v>
      </c>
      <c r="N305" s="28" t="str">
        <f ca="1">CONCATENATE(SUMIF($F$6:$F305,$F305,$P305)," / ",SUMIF($F$6:$F$370,$F305,$P$6:$P$370))</f>
        <v>0 / 0</v>
      </c>
      <c r="O305" s="28" t="str">
        <f t="shared" si="29"/>
        <v>0 / 30</v>
      </c>
      <c r="P305" s="245">
        <v>0</v>
      </c>
      <c r="Q305" s="28"/>
      <c r="R305" s="246">
        <v>0</v>
      </c>
      <c r="S305" s="28" t="str">
        <f>CONCATENATE(SUMIF($E$6:$E305,E305,$R$6:$R$370)," / ",SUMIF($E$6:$E$370,E305,$R$6:$R$370))</f>
        <v>0 / 0</v>
      </c>
      <c r="T305" s="28" t="str">
        <f>CONCATENATE(SUMIF($F$6:$F305,$F305,$R$6:$R$370)," / ",SUMIF($F$6:$F$370,$F305,$R$6:$R$370))</f>
        <v>0 / 0</v>
      </c>
      <c r="U305" s="28" t="str">
        <f>CONCATENATE(SUM($R$6:$R305)," / ",SUM($R$6:$R$370))</f>
        <v>0 / 0</v>
      </c>
    </row>
    <row r="306" spans="2:21" ht="13" thickBot="1">
      <c r="B306" s="28"/>
      <c r="C306" s="237">
        <f t="shared" si="30"/>
        <v>42670</v>
      </c>
      <c r="D306" s="35" t="str">
        <f t="shared" si="31"/>
        <v>Jeudi</v>
      </c>
      <c r="E306" s="124">
        <f t="shared" si="27"/>
        <v>44</v>
      </c>
      <c r="F306" s="124">
        <f t="shared" si="28"/>
        <v>10</v>
      </c>
      <c r="G306" s="27"/>
      <c r="H306" s="28" t="str">
        <f>CONCATENATE(SUMIF($E$6:$E306,$E306,$K$6:$K$370)," / ",SUMIF($E$6:$E$370,$E306,$K$6:$K670))</f>
        <v>0 / 0</v>
      </c>
      <c r="I306" s="28" t="str">
        <f>CONCATENATE(SUMIF($F$6:$F306,$F306,$K$6:$K670)," / ",SUMIF($F$6:$F$370,$F306,$K$6:$K670))</f>
        <v>0 / 0</v>
      </c>
      <c r="J306" s="28" t="str">
        <f>CONCATENATE(SUM($K$6:$K306)," / ",SUM($K$6:$K$370))</f>
        <v>180,895 / 180,895</v>
      </c>
      <c r="K306" s="245">
        <v>0</v>
      </c>
      <c r="L306" s="28"/>
      <c r="M306" s="28" t="str">
        <f>CONCATENATE(SUMIF($E$6:$E306,$E306,$P$6:$P$370)," / ",SUMIF($E$6:$E$370,$E306,$P$6:$P$370))</f>
        <v>0 / 0</v>
      </c>
      <c r="N306" s="28" t="str">
        <f ca="1">CONCATENATE(SUMIF($F$6:$F306,$F306,$P306)," / ",SUMIF($F$6:$F$370,$F306,$P$6:$P$370))</f>
        <v>0 / 0</v>
      </c>
      <c r="O306" s="28" t="str">
        <f t="shared" si="29"/>
        <v>0 / 30</v>
      </c>
      <c r="P306" s="245">
        <v>0</v>
      </c>
      <c r="Q306" s="28"/>
      <c r="R306" s="246">
        <v>0</v>
      </c>
      <c r="S306" s="28" t="str">
        <f>CONCATENATE(SUMIF($E$6:$E306,E306,$R$6:$R$370)," / ",SUMIF($E$6:$E$370,E306,$R$6:$R$370))</f>
        <v>0 / 0</v>
      </c>
      <c r="T306" s="28" t="str">
        <f>CONCATENATE(SUMIF($F$6:$F306,$F306,$R$6:$R$370)," / ",SUMIF($F$6:$F$370,$F306,$R$6:$R$370))</f>
        <v>0 / 0</v>
      </c>
      <c r="U306" s="28" t="str">
        <f>CONCATENATE(SUM($R$6:$R306)," / ",SUM($R$6:$R$370))</f>
        <v>0 / 0</v>
      </c>
    </row>
    <row r="307" spans="2:21" ht="13" thickBot="1">
      <c r="B307" s="28"/>
      <c r="C307" s="237">
        <f t="shared" si="30"/>
        <v>42671</v>
      </c>
      <c r="D307" s="35" t="str">
        <f t="shared" si="31"/>
        <v>Vendredi</v>
      </c>
      <c r="E307" s="124">
        <f t="shared" si="27"/>
        <v>44</v>
      </c>
      <c r="F307" s="124">
        <f t="shared" si="28"/>
        <v>10</v>
      </c>
      <c r="G307" s="27"/>
      <c r="H307" s="28" t="str">
        <f>CONCATENATE(SUMIF($E$6:$E307,$E307,$K$6:$K$370)," / ",SUMIF($E$6:$E$370,$E307,$K$6:$K671))</f>
        <v>0 / 0</v>
      </c>
      <c r="I307" s="28" t="str">
        <f>CONCATENATE(SUMIF($F$6:$F307,$F307,$K$6:$K671)," / ",SUMIF($F$6:$F$370,$F307,$K$6:$K671))</f>
        <v>0 / 0</v>
      </c>
      <c r="J307" s="28" t="str">
        <f>CONCATENATE(SUM($K$6:$K307)," / ",SUM($K$6:$K$370))</f>
        <v>180,895 / 180,895</v>
      </c>
      <c r="K307" s="245">
        <v>0</v>
      </c>
      <c r="L307" s="28"/>
      <c r="M307" s="28" t="str">
        <f>CONCATENATE(SUMIF($E$6:$E307,$E307,$P$6:$P$370)," / ",SUMIF($E$6:$E$370,$E307,$P$6:$P$370))</f>
        <v>0 / 0</v>
      </c>
      <c r="N307" s="28" t="str">
        <f ca="1">CONCATENATE(SUMIF($F$6:$F307,$F307,$P307)," / ",SUMIF($F$6:$F$370,$F307,$P$6:$P$370))</f>
        <v>0 / 0</v>
      </c>
      <c r="O307" s="28" t="str">
        <f t="shared" si="29"/>
        <v>0 / 30</v>
      </c>
      <c r="P307" s="245">
        <v>0</v>
      </c>
      <c r="Q307" s="28"/>
      <c r="R307" s="246">
        <v>0</v>
      </c>
      <c r="S307" s="28" t="str">
        <f>CONCATENATE(SUMIF($E$6:$E307,E307,$R$6:$R$370)," / ",SUMIF($E$6:$E$370,E307,$R$6:$R$370))</f>
        <v>0 / 0</v>
      </c>
      <c r="T307" s="28" t="str">
        <f>CONCATENATE(SUMIF($F$6:$F307,$F307,$R$6:$R$370)," / ",SUMIF($F$6:$F$370,$F307,$R$6:$R$370))</f>
        <v>0 / 0</v>
      </c>
      <c r="U307" s="28" t="str">
        <f>CONCATENATE(SUM($R$6:$R307)," / ",SUM($R$6:$R$370))</f>
        <v>0 / 0</v>
      </c>
    </row>
    <row r="308" spans="2:21" ht="13" thickBot="1">
      <c r="B308" s="28"/>
      <c r="C308" s="237">
        <f t="shared" si="30"/>
        <v>42672</v>
      </c>
      <c r="D308" s="35" t="str">
        <f t="shared" si="31"/>
        <v>samedi</v>
      </c>
      <c r="E308" s="124">
        <f t="shared" si="27"/>
        <v>44</v>
      </c>
      <c r="F308" s="124">
        <f t="shared" si="28"/>
        <v>10</v>
      </c>
      <c r="G308" s="27"/>
      <c r="H308" s="28" t="str">
        <f>CONCATENATE(SUMIF($E$6:$E308,$E308,$K$6:$K$370)," / ",SUMIF($E$6:$E$370,$E308,$K$6:$K672))</f>
        <v>0 / 0</v>
      </c>
      <c r="I308" s="28" t="str">
        <f>CONCATENATE(SUMIF($F$6:$F308,$F308,$K$6:$K672)," / ",SUMIF($F$6:$F$370,$F308,$K$6:$K672))</f>
        <v>0 / 0</v>
      </c>
      <c r="J308" s="28" t="str">
        <f>CONCATENATE(SUM($K$6:$K308)," / ",SUM($K$6:$K$370))</f>
        <v>180,895 / 180,895</v>
      </c>
      <c r="K308" s="245">
        <v>0</v>
      </c>
      <c r="L308" s="28"/>
      <c r="M308" s="28" t="str">
        <f>CONCATENATE(SUMIF($E$6:$E308,$E308,$P$6:$P$370)," / ",SUMIF($E$6:$E$370,$E308,$P$6:$P$370))</f>
        <v>0 / 0</v>
      </c>
      <c r="N308" s="28" t="str">
        <f ca="1">CONCATENATE(SUMIF($F$6:$F308,$F308,$P308)," / ",SUMIF($F$6:$F$370,$F308,$P$6:$P$370))</f>
        <v>0 / 0</v>
      </c>
      <c r="O308" s="28" t="str">
        <f t="shared" si="29"/>
        <v>0 / 30</v>
      </c>
      <c r="P308" s="245">
        <v>0</v>
      </c>
      <c r="Q308" s="28"/>
      <c r="R308" s="246">
        <v>0</v>
      </c>
      <c r="S308" s="28" t="str">
        <f>CONCATENATE(SUMIF($E$6:$E308,E308,$R$6:$R$370)," / ",SUMIF($E$6:$E$370,E308,$R$6:$R$370))</f>
        <v>0 / 0</v>
      </c>
      <c r="T308" s="28" t="str">
        <f>CONCATENATE(SUMIF($F$6:$F308,$F308,$R$6:$R$370)," / ",SUMIF($F$6:$F$370,$F308,$R$6:$R$370))</f>
        <v>0 / 0</v>
      </c>
      <c r="U308" s="28" t="str">
        <f>CONCATENATE(SUM($R$6:$R308)," / ",SUM($R$6:$R$370))</f>
        <v>0 / 0</v>
      </c>
    </row>
    <row r="309" spans="2:21" ht="13" thickBot="1">
      <c r="B309" s="28"/>
      <c r="C309" s="237">
        <f t="shared" si="30"/>
        <v>42673</v>
      </c>
      <c r="D309" s="35" t="str">
        <f t="shared" si="31"/>
        <v>Dimanche</v>
      </c>
      <c r="E309" s="124">
        <f t="shared" si="27"/>
        <v>45</v>
      </c>
      <c r="F309" s="124">
        <f t="shared" si="28"/>
        <v>10</v>
      </c>
      <c r="G309" s="27"/>
      <c r="H309" s="28" t="str">
        <f>CONCATENATE(SUMIF($E$6:$E309,$E309,$K$6:$K$370)," / ",SUMIF($E$6:$E$370,$E309,$K$6:$K673))</f>
        <v>0 / 0</v>
      </c>
      <c r="I309" s="28" t="str">
        <f>CONCATENATE(SUMIF($F$6:$F309,$F309,$K$6:$K673)," / ",SUMIF($F$6:$F$370,$F309,$K$6:$K673))</f>
        <v>0 / 0</v>
      </c>
      <c r="J309" s="28" t="str">
        <f>CONCATENATE(SUM($K$6:$K309)," / ",SUM($K$6:$K$370))</f>
        <v>180,895 / 180,895</v>
      </c>
      <c r="K309" s="245">
        <v>0</v>
      </c>
      <c r="L309" s="28"/>
      <c r="M309" s="28" t="str">
        <f>CONCATENATE(SUMIF($E$6:$E309,$E309,$P$6:$P$370)," / ",SUMIF($E$6:$E$370,$E309,$P$6:$P$370))</f>
        <v>0 / 0</v>
      </c>
      <c r="N309" s="28" t="str">
        <f ca="1">CONCATENATE(SUMIF($F$6:$F309,$F309,$P309)," / ",SUMIF($F$6:$F$370,$F309,$P$6:$P$370))</f>
        <v>0 / 0</v>
      </c>
      <c r="O309" s="28" t="str">
        <f t="shared" si="29"/>
        <v>0 / 30</v>
      </c>
      <c r="P309" s="245">
        <v>0</v>
      </c>
      <c r="Q309" s="28"/>
      <c r="R309" s="246">
        <v>0</v>
      </c>
      <c r="S309" s="28" t="str">
        <f>CONCATENATE(SUMIF($E$6:$E309,E309,$R$6:$R$370)," / ",SUMIF($E$6:$E$370,E309,$R$6:$R$370))</f>
        <v>0 / 0</v>
      </c>
      <c r="T309" s="28" t="str">
        <f>CONCATENATE(SUMIF($F$6:$F309,$F309,$R$6:$R$370)," / ",SUMIF($F$6:$F$370,$F309,$R$6:$R$370))</f>
        <v>0 / 0</v>
      </c>
      <c r="U309" s="28" t="str">
        <f>CONCATENATE(SUM($R$6:$R309)," / ",SUM($R$6:$R$370))</f>
        <v>0 / 0</v>
      </c>
    </row>
    <row r="310" spans="2:21" ht="13" thickBot="1">
      <c r="B310" s="28"/>
      <c r="C310" s="237">
        <f t="shared" si="30"/>
        <v>42674</v>
      </c>
      <c r="D310" s="35" t="str">
        <f t="shared" si="31"/>
        <v>Lundi</v>
      </c>
      <c r="E310" s="124">
        <f t="shared" si="27"/>
        <v>45</v>
      </c>
      <c r="F310" s="124">
        <f t="shared" si="28"/>
        <v>10</v>
      </c>
      <c r="G310" s="27"/>
      <c r="H310" s="28" t="str">
        <f>CONCATENATE(SUMIF($E$6:$E310,$E310,$K$6:$K$370)," / ",SUMIF($E$6:$E$370,$E310,$K$6:$K674))</f>
        <v>0 / 0</v>
      </c>
      <c r="I310" s="28" t="str">
        <f>CONCATENATE(SUMIF($F$6:$F310,$F310,$K$6:$K674)," / ",SUMIF($F$6:$F$370,$F310,$K$6:$K674))</f>
        <v>0 / 0</v>
      </c>
      <c r="J310" s="28" t="str">
        <f>CONCATENATE(SUM($K$6:$K310)," / ",SUM($K$6:$K$370))</f>
        <v>180,895 / 180,895</v>
      </c>
      <c r="K310" s="245">
        <v>0</v>
      </c>
      <c r="L310" s="28"/>
      <c r="M310" s="28" t="str">
        <f>CONCATENATE(SUMIF($E$6:$E310,$E310,$P$6:$P$370)," / ",SUMIF($E$6:$E$370,$E310,$P$6:$P$370))</f>
        <v>0 / 0</v>
      </c>
      <c r="N310" s="28" t="str">
        <f ca="1">CONCATENATE(SUMIF($F$6:$F310,$F310,$P310)," / ",SUMIF($F$6:$F$370,$F310,$P$6:$P$370))</f>
        <v>0 / 0</v>
      </c>
      <c r="O310" s="28" t="str">
        <f t="shared" si="29"/>
        <v>0 / 30</v>
      </c>
      <c r="P310" s="245">
        <v>0</v>
      </c>
      <c r="Q310" s="28"/>
      <c r="R310" s="246">
        <v>0</v>
      </c>
      <c r="S310" s="28" t="str">
        <f>CONCATENATE(SUMIF($E$6:$E310,E310,$R$6:$R$370)," / ",SUMIF($E$6:$E$370,E310,$R$6:$R$370))</f>
        <v>0 / 0</v>
      </c>
      <c r="T310" s="28" t="str">
        <f>CONCATENATE(SUMIF($F$6:$F310,$F310,$R$6:$R$370)," / ",SUMIF($F$6:$F$370,$F310,$R$6:$R$370))</f>
        <v>0 / 0</v>
      </c>
      <c r="U310" s="28" t="str">
        <f>CONCATENATE(SUM($R$6:$R310)," / ",SUM($R$6:$R$370))</f>
        <v>0 / 0</v>
      </c>
    </row>
    <row r="311" spans="2:21" ht="13" thickBot="1">
      <c r="B311" s="28"/>
      <c r="C311" s="237">
        <f t="shared" si="30"/>
        <v>42675</v>
      </c>
      <c r="D311" s="35" t="str">
        <f t="shared" si="31"/>
        <v>Mardi</v>
      </c>
      <c r="E311" s="124">
        <f t="shared" si="27"/>
        <v>45</v>
      </c>
      <c r="F311" s="124">
        <f t="shared" si="28"/>
        <v>11</v>
      </c>
      <c r="G311" s="27"/>
      <c r="H311" s="28" t="str">
        <f>CONCATENATE(SUMIF($E$6:$E311,$E311,$K$6:$K$370)," / ",SUMIF($E$6:$E$370,$E311,$K$6:$K675))</f>
        <v>0 / 0</v>
      </c>
      <c r="I311" s="28" t="str">
        <f>CONCATENATE(SUMIF($F$6:$F311,$F311,$K$6:$K675)," / ",SUMIF($F$6:$F$370,$F311,$K$6:$K675))</f>
        <v>0 / 0</v>
      </c>
      <c r="J311" s="28" t="str">
        <f>CONCATENATE(SUM($K$6:$K311)," / ",SUM($K$6:$K$370))</f>
        <v>180,895 / 180,895</v>
      </c>
      <c r="K311" s="245">
        <v>0</v>
      </c>
      <c r="L311" s="28"/>
      <c r="M311" s="28" t="str">
        <f>CONCATENATE(SUMIF($E$6:$E311,$E311,$P$6:$P$370)," / ",SUMIF($E$6:$E$370,$E311,$P$6:$P$370))</f>
        <v>0 / 0</v>
      </c>
      <c r="N311" s="28" t="str">
        <f ca="1">CONCATENATE(SUMIF($F$6:$F311,$F311,$P311)," / ",SUMIF($F$6:$F$370,$F311,$P$6:$P$370))</f>
        <v>0 / 0</v>
      </c>
      <c r="O311" s="28" t="str">
        <f t="shared" si="29"/>
        <v>0 / 30</v>
      </c>
      <c r="P311" s="245">
        <v>0</v>
      </c>
      <c r="Q311" s="28"/>
      <c r="R311" s="246">
        <v>0</v>
      </c>
      <c r="S311" s="28" t="str">
        <f>CONCATENATE(SUMIF($E$6:$E311,E311,$R$6:$R$370)," / ",SUMIF($E$6:$E$370,E311,$R$6:$R$370))</f>
        <v>0 / 0</v>
      </c>
      <c r="T311" s="28" t="str">
        <f>CONCATENATE(SUMIF($F$6:$F311,$F311,$R$6:$R$370)," / ",SUMIF($F$6:$F$370,$F311,$R$6:$R$370))</f>
        <v>0 / 0</v>
      </c>
      <c r="U311" s="28" t="str">
        <f>CONCATENATE(SUM($R$6:$R311)," / ",SUM($R$6:$R$370))</f>
        <v>0 / 0</v>
      </c>
    </row>
    <row r="312" spans="2:21" ht="13" thickBot="1">
      <c r="B312" s="28"/>
      <c r="C312" s="237">
        <f t="shared" si="30"/>
        <v>42676</v>
      </c>
      <c r="D312" s="35" t="str">
        <f t="shared" si="31"/>
        <v>Mercredi</v>
      </c>
      <c r="E312" s="124">
        <f t="shared" si="27"/>
        <v>45</v>
      </c>
      <c r="F312" s="124">
        <f t="shared" si="28"/>
        <v>11</v>
      </c>
      <c r="G312" s="27"/>
      <c r="H312" s="28" t="str">
        <f>CONCATENATE(SUMIF($E$6:$E312,$E312,$K$6:$K$370)," / ",SUMIF($E$6:$E$370,$E312,$K$6:$K676))</f>
        <v>0 / 0</v>
      </c>
      <c r="I312" s="28" t="str">
        <f>CONCATENATE(SUMIF($F$6:$F312,$F312,$K$6:$K676)," / ",SUMIF($F$6:$F$370,$F312,$K$6:$K676))</f>
        <v>0 / 0</v>
      </c>
      <c r="J312" s="28" t="str">
        <f>CONCATENATE(SUM($K$6:$K312)," / ",SUM($K$6:$K$370))</f>
        <v>180,895 / 180,895</v>
      </c>
      <c r="K312" s="245">
        <v>0</v>
      </c>
      <c r="L312" s="28"/>
      <c r="M312" s="28" t="str">
        <f>CONCATENATE(SUMIF($E$6:$E312,$E312,$P$6:$P$370)," / ",SUMIF($E$6:$E$370,$E312,$P$6:$P$370))</f>
        <v>0 / 0</v>
      </c>
      <c r="N312" s="28" t="str">
        <f ca="1">CONCATENATE(SUMIF($F$6:$F312,$F312,$P312)," / ",SUMIF($F$6:$F$370,$F312,$P$6:$P$370))</f>
        <v>0 / 0</v>
      </c>
      <c r="O312" s="28" t="str">
        <f t="shared" si="29"/>
        <v>0 / 30</v>
      </c>
      <c r="P312" s="245">
        <v>0</v>
      </c>
      <c r="Q312" s="28"/>
      <c r="R312" s="246">
        <v>0</v>
      </c>
      <c r="S312" s="28" t="str">
        <f>CONCATENATE(SUMIF($E$6:$E312,E312,$R$6:$R$370)," / ",SUMIF($E$6:$E$370,E312,$R$6:$R$370))</f>
        <v>0 / 0</v>
      </c>
      <c r="T312" s="28" t="str">
        <f>CONCATENATE(SUMIF($F$6:$F312,$F312,$R$6:$R$370)," / ",SUMIF($F$6:$F$370,$F312,$R$6:$R$370))</f>
        <v>0 / 0</v>
      </c>
      <c r="U312" s="28" t="str">
        <f>CONCATENATE(SUM($R$6:$R312)," / ",SUM($R$6:$R$370))</f>
        <v>0 / 0</v>
      </c>
    </row>
    <row r="313" spans="2:21" ht="13" thickBot="1">
      <c r="B313" s="28"/>
      <c r="C313" s="237">
        <f t="shared" si="30"/>
        <v>42677</v>
      </c>
      <c r="D313" s="35" t="str">
        <f t="shared" si="31"/>
        <v>Jeudi</v>
      </c>
      <c r="E313" s="124">
        <f t="shared" si="27"/>
        <v>45</v>
      </c>
      <c r="F313" s="124">
        <f t="shared" si="28"/>
        <v>11</v>
      </c>
      <c r="G313" s="27"/>
      <c r="H313" s="28" t="str">
        <f>CONCATENATE(SUMIF($E$6:$E313,$E313,$K$6:$K$370)," / ",SUMIF($E$6:$E$370,$E313,$K$6:$K677))</f>
        <v>0 / 0</v>
      </c>
      <c r="I313" s="28" t="str">
        <f>CONCATENATE(SUMIF($F$6:$F313,$F313,$K$6:$K677)," / ",SUMIF($F$6:$F$370,$F313,$K$6:$K677))</f>
        <v>0 / 0</v>
      </c>
      <c r="J313" s="28" t="str">
        <f>CONCATENATE(SUM($K$6:$K313)," / ",SUM($K$6:$K$370))</f>
        <v>180,895 / 180,895</v>
      </c>
      <c r="K313" s="245">
        <v>0</v>
      </c>
      <c r="L313" s="28"/>
      <c r="M313" s="28" t="str">
        <f>CONCATENATE(SUMIF($E$6:$E313,$E313,$P$6:$P$370)," / ",SUMIF($E$6:$E$370,$E313,$P$6:$P$370))</f>
        <v>0 / 0</v>
      </c>
      <c r="N313" s="28" t="str">
        <f ca="1">CONCATENATE(SUMIF($F$6:$F313,$F313,$P313)," / ",SUMIF($F$6:$F$370,$F313,$P$6:$P$370))</f>
        <v>0 / 0</v>
      </c>
      <c r="O313" s="28" t="str">
        <f t="shared" si="29"/>
        <v>0 / 30</v>
      </c>
      <c r="P313" s="245">
        <v>0</v>
      </c>
      <c r="Q313" s="28"/>
      <c r="R313" s="246">
        <v>0</v>
      </c>
      <c r="S313" s="28" t="str">
        <f>CONCATENATE(SUMIF($E$6:$E313,E313,$R$6:$R$370)," / ",SUMIF($E$6:$E$370,E313,$R$6:$R$370))</f>
        <v>0 / 0</v>
      </c>
      <c r="T313" s="28" t="str">
        <f>CONCATENATE(SUMIF($F$6:$F313,$F313,$R$6:$R$370)," / ",SUMIF($F$6:$F$370,$F313,$R$6:$R$370))</f>
        <v>0 / 0</v>
      </c>
      <c r="U313" s="28" t="str">
        <f>CONCATENATE(SUM($R$6:$R313)," / ",SUM($R$6:$R$370))</f>
        <v>0 / 0</v>
      </c>
    </row>
    <row r="314" spans="2:21" ht="13" thickBot="1">
      <c r="B314" s="28"/>
      <c r="C314" s="237">
        <f t="shared" si="30"/>
        <v>42678</v>
      </c>
      <c r="D314" s="35" t="str">
        <f t="shared" si="31"/>
        <v>Vendredi</v>
      </c>
      <c r="E314" s="124">
        <f t="shared" si="27"/>
        <v>45</v>
      </c>
      <c r="F314" s="124">
        <f t="shared" si="28"/>
        <v>11</v>
      </c>
      <c r="G314" s="27"/>
      <c r="H314" s="28" t="str">
        <f>CONCATENATE(SUMIF($E$6:$E314,$E314,$K$6:$K$370)," / ",SUMIF($E$6:$E$370,$E314,$K$6:$K678))</f>
        <v>0 / 0</v>
      </c>
      <c r="I314" s="28" t="str">
        <f>CONCATENATE(SUMIF($F$6:$F314,$F314,$K$6:$K678)," / ",SUMIF($F$6:$F$370,$F314,$K$6:$K678))</f>
        <v>0 / 0</v>
      </c>
      <c r="J314" s="28" t="str">
        <f>CONCATENATE(SUM($K$6:$K314)," / ",SUM($K$6:$K$370))</f>
        <v>180,895 / 180,895</v>
      </c>
      <c r="K314" s="245">
        <v>0</v>
      </c>
      <c r="L314" s="28"/>
      <c r="M314" s="28" t="str">
        <f>CONCATENATE(SUMIF($E$6:$E314,$E314,$P$6:$P$370)," / ",SUMIF($E$6:$E$370,$E314,$P$6:$P$370))</f>
        <v>0 / 0</v>
      </c>
      <c r="N314" s="28" t="str">
        <f ca="1">CONCATENATE(SUMIF($F$6:$F314,$F314,$P314)," / ",SUMIF($F$6:$F$370,$F314,$P$6:$P$370))</f>
        <v>0 / 0</v>
      </c>
      <c r="O314" s="28" t="str">
        <f t="shared" si="29"/>
        <v>0 / 30</v>
      </c>
      <c r="P314" s="245">
        <v>0</v>
      </c>
      <c r="Q314" s="28"/>
      <c r="R314" s="246">
        <v>0</v>
      </c>
      <c r="S314" s="28" t="str">
        <f>CONCATENATE(SUMIF($E$6:$E314,E314,$R$6:$R$370)," / ",SUMIF($E$6:$E$370,E314,$R$6:$R$370))</f>
        <v>0 / 0</v>
      </c>
      <c r="T314" s="28" t="str">
        <f>CONCATENATE(SUMIF($F$6:$F314,$F314,$R$6:$R$370)," / ",SUMIF($F$6:$F$370,$F314,$R$6:$R$370))</f>
        <v>0 / 0</v>
      </c>
      <c r="U314" s="28" t="str">
        <f>CONCATENATE(SUM($R$6:$R314)," / ",SUM($R$6:$R$370))</f>
        <v>0 / 0</v>
      </c>
    </row>
    <row r="315" spans="2:21" ht="13" thickBot="1">
      <c r="B315" s="28"/>
      <c r="C315" s="237">
        <f t="shared" si="30"/>
        <v>42679</v>
      </c>
      <c r="D315" s="35" t="str">
        <f t="shared" si="31"/>
        <v>samedi</v>
      </c>
      <c r="E315" s="124">
        <f t="shared" si="27"/>
        <v>45</v>
      </c>
      <c r="F315" s="124">
        <f t="shared" si="28"/>
        <v>11</v>
      </c>
      <c r="G315" s="27"/>
      <c r="H315" s="28" t="str">
        <f>CONCATENATE(SUMIF($E$6:$E315,$E315,$K$6:$K$370)," / ",SUMIF($E$6:$E$370,$E315,$K$6:$K679))</f>
        <v>0 / 0</v>
      </c>
      <c r="I315" s="28" t="str">
        <f>CONCATENATE(SUMIF($F$6:$F315,$F315,$K$6:$K679)," / ",SUMIF($F$6:$F$370,$F315,$K$6:$K679))</f>
        <v>0 / 0</v>
      </c>
      <c r="J315" s="28" t="str">
        <f>CONCATENATE(SUM($K$6:$K315)," / ",SUM($K$6:$K$370))</f>
        <v>180,895 / 180,895</v>
      </c>
      <c r="K315" s="245">
        <v>0</v>
      </c>
      <c r="L315" s="28"/>
      <c r="M315" s="28" t="str">
        <f>CONCATENATE(SUMIF($E$6:$E315,$E315,$P$6:$P$370)," / ",SUMIF($E$6:$E$370,$E315,$P$6:$P$370))</f>
        <v>0 / 0</v>
      </c>
      <c r="N315" s="28" t="str">
        <f ca="1">CONCATENATE(SUMIF($F$6:$F315,$F315,$P315)," / ",SUMIF($F$6:$F$370,$F315,$P$6:$P$370))</f>
        <v>0 / 0</v>
      </c>
      <c r="O315" s="28" t="str">
        <f t="shared" si="29"/>
        <v>0 / 30</v>
      </c>
      <c r="P315" s="245">
        <v>0</v>
      </c>
      <c r="Q315" s="28"/>
      <c r="R315" s="246">
        <v>0</v>
      </c>
      <c r="S315" s="28" t="str">
        <f>CONCATENATE(SUMIF($E$6:$E315,E315,$R$6:$R$370)," / ",SUMIF($E$6:$E$370,E315,$R$6:$R$370))</f>
        <v>0 / 0</v>
      </c>
      <c r="T315" s="28" t="str">
        <f>CONCATENATE(SUMIF($F$6:$F315,$F315,$R$6:$R$370)," / ",SUMIF($F$6:$F$370,$F315,$R$6:$R$370))</f>
        <v>0 / 0</v>
      </c>
      <c r="U315" s="28" t="str">
        <f>CONCATENATE(SUM($R$6:$R315)," / ",SUM($R$6:$R$370))</f>
        <v>0 / 0</v>
      </c>
    </row>
    <row r="316" spans="2:21" ht="13" thickBot="1">
      <c r="B316" s="28"/>
      <c r="C316" s="237">
        <f t="shared" si="30"/>
        <v>42680</v>
      </c>
      <c r="D316" s="35" t="str">
        <f t="shared" si="31"/>
        <v>Dimanche</v>
      </c>
      <c r="E316" s="124">
        <f t="shared" si="27"/>
        <v>46</v>
      </c>
      <c r="F316" s="124">
        <f t="shared" si="28"/>
        <v>11</v>
      </c>
      <c r="G316" s="27"/>
      <c r="H316" s="28" t="str">
        <f>CONCATENATE(SUMIF($E$6:$E316,$E316,$K$6:$K$370)," / ",SUMIF($E$6:$E$370,$E316,$K$6:$K680))</f>
        <v>0 / 0</v>
      </c>
      <c r="I316" s="28" t="str">
        <f>CONCATENATE(SUMIF($F$6:$F316,$F316,$K$6:$K680)," / ",SUMIF($F$6:$F$370,$F316,$K$6:$K680))</f>
        <v>0 / 0</v>
      </c>
      <c r="J316" s="28" t="str">
        <f>CONCATENATE(SUM($K$6:$K316)," / ",SUM($K$6:$K$370))</f>
        <v>180,895 / 180,895</v>
      </c>
      <c r="K316" s="245">
        <v>0</v>
      </c>
      <c r="L316" s="28"/>
      <c r="M316" s="28" t="str">
        <f>CONCATENATE(SUMIF($E$6:$E316,$E316,$P$6:$P$370)," / ",SUMIF($E$6:$E$370,$E316,$P$6:$P$370))</f>
        <v>0 / 0</v>
      </c>
      <c r="N316" s="28" t="str">
        <f ca="1">CONCATENATE(SUMIF($F$6:$F316,$F316,$P316)," / ",SUMIF($F$6:$F$370,$F316,$P$6:$P$370))</f>
        <v>0 / 0</v>
      </c>
      <c r="O316" s="28" t="str">
        <f t="shared" si="29"/>
        <v>0 / 30</v>
      </c>
      <c r="P316" s="245">
        <v>0</v>
      </c>
      <c r="Q316" s="28"/>
      <c r="R316" s="246">
        <v>0</v>
      </c>
      <c r="S316" s="28" t="str">
        <f>CONCATENATE(SUMIF($E$6:$E316,E316,$R$6:$R$370)," / ",SUMIF($E$6:$E$370,E316,$R$6:$R$370))</f>
        <v>0 / 0</v>
      </c>
      <c r="T316" s="28" t="str">
        <f>CONCATENATE(SUMIF($F$6:$F316,$F316,$R$6:$R$370)," / ",SUMIF($F$6:$F$370,$F316,$R$6:$R$370))</f>
        <v>0 / 0</v>
      </c>
      <c r="U316" s="28" t="str">
        <f>CONCATENATE(SUM($R$6:$R316)," / ",SUM($R$6:$R$370))</f>
        <v>0 / 0</v>
      </c>
    </row>
    <row r="317" spans="2:21" ht="13" thickBot="1">
      <c r="B317" s="28"/>
      <c r="C317" s="237">
        <f t="shared" si="30"/>
        <v>42681</v>
      </c>
      <c r="D317" s="35" t="str">
        <f t="shared" si="31"/>
        <v>Lundi</v>
      </c>
      <c r="E317" s="124">
        <f t="shared" si="27"/>
        <v>46</v>
      </c>
      <c r="F317" s="124">
        <f t="shared" si="28"/>
        <v>11</v>
      </c>
      <c r="G317" s="27"/>
      <c r="H317" s="28" t="str">
        <f>CONCATENATE(SUMIF($E$6:$E317,$E317,$K$6:$K$370)," / ",SUMIF($E$6:$E$370,$E317,$K$6:$K681))</f>
        <v>0 / 0</v>
      </c>
      <c r="I317" s="28" t="str">
        <f>CONCATENATE(SUMIF($F$6:$F317,$F317,$K$6:$K681)," / ",SUMIF($F$6:$F$370,$F317,$K$6:$K681))</f>
        <v>0 / 0</v>
      </c>
      <c r="J317" s="28" t="str">
        <f>CONCATENATE(SUM($K$6:$K317)," / ",SUM($K$6:$K$370))</f>
        <v>180,895 / 180,895</v>
      </c>
      <c r="K317" s="245">
        <v>0</v>
      </c>
      <c r="L317" s="28"/>
      <c r="M317" s="28" t="str">
        <f>CONCATENATE(SUMIF($E$6:$E317,$E317,$P$6:$P$370)," / ",SUMIF($E$6:$E$370,$E317,$P$6:$P$370))</f>
        <v>0 / 0</v>
      </c>
      <c r="N317" s="28" t="str">
        <f ca="1">CONCATENATE(SUMIF($F$6:$F317,$F317,$P317)," / ",SUMIF($F$6:$F$370,$F317,$P$6:$P$370))</f>
        <v>0 / 0</v>
      </c>
      <c r="O317" s="28" t="str">
        <f t="shared" si="29"/>
        <v>0 / 30</v>
      </c>
      <c r="P317" s="245">
        <v>0</v>
      </c>
      <c r="Q317" s="28"/>
      <c r="R317" s="246">
        <v>0</v>
      </c>
      <c r="S317" s="28" t="str">
        <f>CONCATENATE(SUMIF($E$6:$E317,E317,$R$6:$R$370)," / ",SUMIF($E$6:$E$370,E317,$R$6:$R$370))</f>
        <v>0 / 0</v>
      </c>
      <c r="T317" s="28" t="str">
        <f>CONCATENATE(SUMIF($F$6:$F317,$F317,$R$6:$R$370)," / ",SUMIF($F$6:$F$370,$F317,$R$6:$R$370))</f>
        <v>0 / 0</v>
      </c>
      <c r="U317" s="28" t="str">
        <f>CONCATENATE(SUM($R$6:$R317)," / ",SUM($R$6:$R$370))</f>
        <v>0 / 0</v>
      </c>
    </row>
    <row r="318" spans="2:21" ht="13" thickBot="1">
      <c r="B318" s="28"/>
      <c r="C318" s="237">
        <f t="shared" si="30"/>
        <v>42682</v>
      </c>
      <c r="D318" s="35" t="str">
        <f t="shared" si="31"/>
        <v>Mardi</v>
      </c>
      <c r="E318" s="124">
        <f t="shared" si="27"/>
        <v>46</v>
      </c>
      <c r="F318" s="124">
        <f t="shared" si="28"/>
        <v>11</v>
      </c>
      <c r="G318" s="27"/>
      <c r="H318" s="28" t="str">
        <f>CONCATENATE(SUMIF($E$6:$E318,$E318,$K$6:$K$370)," / ",SUMIF($E$6:$E$370,$E318,$K$6:$K682))</f>
        <v>0 / 0</v>
      </c>
      <c r="I318" s="28" t="str">
        <f>CONCATENATE(SUMIF($F$6:$F318,$F318,$K$6:$K682)," / ",SUMIF($F$6:$F$370,$F318,$K$6:$K682))</f>
        <v>0 / 0</v>
      </c>
      <c r="J318" s="28" t="str">
        <f>CONCATENATE(SUM($K$6:$K318)," / ",SUM($K$6:$K$370))</f>
        <v>180,895 / 180,895</v>
      </c>
      <c r="K318" s="245">
        <v>0</v>
      </c>
      <c r="L318" s="28"/>
      <c r="M318" s="28" t="str">
        <f>CONCATENATE(SUMIF($E$6:$E318,$E318,$P$6:$P$370)," / ",SUMIF($E$6:$E$370,$E318,$P$6:$P$370))</f>
        <v>0 / 0</v>
      </c>
      <c r="N318" s="28" t="str">
        <f ca="1">CONCATENATE(SUMIF($F$6:$F318,$F318,$P318)," / ",SUMIF($F$6:$F$370,$F318,$P$6:$P$370))</f>
        <v>0 / 0</v>
      </c>
      <c r="O318" s="28" t="str">
        <f t="shared" si="29"/>
        <v>0 / 30</v>
      </c>
      <c r="P318" s="245">
        <v>0</v>
      </c>
      <c r="Q318" s="28"/>
      <c r="R318" s="246">
        <v>0</v>
      </c>
      <c r="S318" s="28" t="str">
        <f>CONCATENATE(SUMIF($E$6:$E318,E318,$R$6:$R$370)," / ",SUMIF($E$6:$E$370,E318,$R$6:$R$370))</f>
        <v>0 / 0</v>
      </c>
      <c r="T318" s="28" t="str">
        <f>CONCATENATE(SUMIF($F$6:$F318,$F318,$R$6:$R$370)," / ",SUMIF($F$6:$F$370,$F318,$R$6:$R$370))</f>
        <v>0 / 0</v>
      </c>
      <c r="U318" s="28" t="str">
        <f>CONCATENATE(SUM($R$6:$R318)," / ",SUM($R$6:$R$370))</f>
        <v>0 / 0</v>
      </c>
    </row>
    <row r="319" spans="2:21" ht="13" thickBot="1">
      <c r="B319" s="28"/>
      <c r="C319" s="237">
        <f t="shared" si="30"/>
        <v>42683</v>
      </c>
      <c r="D319" s="35" t="str">
        <f t="shared" si="31"/>
        <v>Mercredi</v>
      </c>
      <c r="E319" s="124">
        <f t="shared" si="27"/>
        <v>46</v>
      </c>
      <c r="F319" s="124">
        <f t="shared" si="28"/>
        <v>11</v>
      </c>
      <c r="G319" s="27"/>
      <c r="H319" s="28" t="str">
        <f>CONCATENATE(SUMIF($E$6:$E319,$E319,$K$6:$K$370)," / ",SUMIF($E$6:$E$370,$E319,$K$6:$K683))</f>
        <v>0 / 0</v>
      </c>
      <c r="I319" s="28" t="str">
        <f>CONCATENATE(SUMIF($F$6:$F319,$F319,$K$6:$K683)," / ",SUMIF($F$6:$F$370,$F319,$K$6:$K683))</f>
        <v>0 / 0</v>
      </c>
      <c r="J319" s="28" t="str">
        <f>CONCATENATE(SUM($K$6:$K319)," / ",SUM($K$6:$K$370))</f>
        <v>180,895 / 180,895</v>
      </c>
      <c r="K319" s="245">
        <v>0</v>
      </c>
      <c r="L319" s="28"/>
      <c r="M319" s="28" t="str">
        <f>CONCATENATE(SUMIF($E$6:$E319,$E319,$P$6:$P$370)," / ",SUMIF($E$6:$E$370,$E319,$P$6:$P$370))</f>
        <v>0 / 0</v>
      </c>
      <c r="N319" s="28" t="str">
        <f ca="1">CONCATENATE(SUMIF($F$6:$F319,$F319,$P319)," / ",SUMIF($F$6:$F$370,$F319,$P$6:$P$370))</f>
        <v>0 / 0</v>
      </c>
      <c r="O319" s="28" t="str">
        <f t="shared" si="29"/>
        <v>0 / 30</v>
      </c>
      <c r="P319" s="245">
        <v>0</v>
      </c>
      <c r="Q319" s="28"/>
      <c r="R319" s="246">
        <v>0</v>
      </c>
      <c r="S319" s="28" t="str">
        <f>CONCATENATE(SUMIF($E$6:$E319,E319,$R$6:$R$370)," / ",SUMIF($E$6:$E$370,E319,$R$6:$R$370))</f>
        <v>0 / 0</v>
      </c>
      <c r="T319" s="28" t="str">
        <f>CONCATENATE(SUMIF($F$6:$F319,$F319,$R$6:$R$370)," / ",SUMIF($F$6:$F$370,$F319,$R$6:$R$370))</f>
        <v>0 / 0</v>
      </c>
      <c r="U319" s="28" t="str">
        <f>CONCATENATE(SUM($R$6:$R319)," / ",SUM($R$6:$R$370))</f>
        <v>0 / 0</v>
      </c>
    </row>
    <row r="320" spans="2:21" ht="13" thickBot="1">
      <c r="B320" s="28"/>
      <c r="C320" s="237">
        <f t="shared" si="30"/>
        <v>42684</v>
      </c>
      <c r="D320" s="35" t="str">
        <f t="shared" si="31"/>
        <v>Jeudi</v>
      </c>
      <c r="E320" s="124">
        <f t="shared" si="27"/>
        <v>46</v>
      </c>
      <c r="F320" s="124">
        <f t="shared" si="28"/>
        <v>11</v>
      </c>
      <c r="G320" s="27"/>
      <c r="H320" s="28" t="str">
        <f>CONCATENATE(SUMIF($E$6:$E320,$E320,$K$6:$K$370)," / ",SUMIF($E$6:$E$370,$E320,$K$6:$K684))</f>
        <v>0 / 0</v>
      </c>
      <c r="I320" s="28" t="str">
        <f>CONCATENATE(SUMIF($F$6:$F320,$F320,$K$6:$K684)," / ",SUMIF($F$6:$F$370,$F320,$K$6:$K684))</f>
        <v>0 / 0</v>
      </c>
      <c r="J320" s="28" t="str">
        <f>CONCATENATE(SUM($K$6:$K320)," / ",SUM($K$6:$K$370))</f>
        <v>180,895 / 180,895</v>
      </c>
      <c r="K320" s="245">
        <v>0</v>
      </c>
      <c r="L320" s="28"/>
      <c r="M320" s="28" t="str">
        <f>CONCATENATE(SUMIF($E$6:$E320,$E320,$P$6:$P$370)," / ",SUMIF($E$6:$E$370,$E320,$P$6:$P$370))</f>
        <v>0 / 0</v>
      </c>
      <c r="N320" s="28" t="str">
        <f ca="1">CONCATENATE(SUMIF($F$6:$F320,$F320,$P320)," / ",SUMIF($F$6:$F$370,$F320,$P$6:$P$370))</f>
        <v>0 / 0</v>
      </c>
      <c r="O320" s="28" t="str">
        <f t="shared" si="29"/>
        <v>0 / 30</v>
      </c>
      <c r="P320" s="245">
        <v>0</v>
      </c>
      <c r="Q320" s="28"/>
      <c r="R320" s="246">
        <v>0</v>
      </c>
      <c r="S320" s="28" t="str">
        <f>CONCATENATE(SUMIF($E$6:$E320,E320,$R$6:$R$370)," / ",SUMIF($E$6:$E$370,E320,$R$6:$R$370))</f>
        <v>0 / 0</v>
      </c>
      <c r="T320" s="28" t="str">
        <f>CONCATENATE(SUMIF($F$6:$F320,$F320,$R$6:$R$370)," / ",SUMIF($F$6:$F$370,$F320,$R$6:$R$370))</f>
        <v>0 / 0</v>
      </c>
      <c r="U320" s="28" t="str">
        <f>CONCATENATE(SUM($R$6:$R320)," / ",SUM($R$6:$R$370))</f>
        <v>0 / 0</v>
      </c>
    </row>
    <row r="321" spans="2:21" ht="13" thickBot="1">
      <c r="B321" s="28"/>
      <c r="C321" s="237">
        <f t="shared" si="30"/>
        <v>42685</v>
      </c>
      <c r="D321" s="35" t="str">
        <f t="shared" si="31"/>
        <v>Vendredi</v>
      </c>
      <c r="E321" s="124">
        <f t="shared" si="27"/>
        <v>46</v>
      </c>
      <c r="F321" s="124">
        <f t="shared" si="28"/>
        <v>11</v>
      </c>
      <c r="G321" s="27"/>
      <c r="H321" s="28" t="str">
        <f>CONCATENATE(SUMIF($E$6:$E321,$E321,$K$6:$K$370)," / ",SUMIF($E$6:$E$370,$E321,$K$6:$K685))</f>
        <v>0 / 0</v>
      </c>
      <c r="I321" s="28" t="str">
        <f>CONCATENATE(SUMIF($F$6:$F321,$F321,$K$6:$K685)," / ",SUMIF($F$6:$F$370,$F321,$K$6:$K685))</f>
        <v>0 / 0</v>
      </c>
      <c r="J321" s="28" t="str">
        <f>CONCATENATE(SUM($K$6:$K321)," / ",SUM($K$6:$K$370))</f>
        <v>180,895 / 180,895</v>
      </c>
      <c r="K321" s="245">
        <v>0</v>
      </c>
      <c r="L321" s="28"/>
      <c r="M321" s="28" t="str">
        <f>CONCATENATE(SUMIF($E$6:$E321,$E321,$P$6:$P$370)," / ",SUMIF($E$6:$E$370,$E321,$P$6:$P$370))</f>
        <v>0 / 0</v>
      </c>
      <c r="N321" s="28" t="str">
        <f ca="1">CONCATENATE(SUMIF($F$6:$F321,$F321,$P321)," / ",SUMIF($F$6:$F$370,$F321,$P$6:$P$370))</f>
        <v>0 / 0</v>
      </c>
      <c r="O321" s="28" t="str">
        <f t="shared" si="29"/>
        <v>0 / 30</v>
      </c>
      <c r="P321" s="245">
        <v>0</v>
      </c>
      <c r="Q321" s="28"/>
      <c r="R321" s="246">
        <v>0</v>
      </c>
      <c r="S321" s="28" t="str">
        <f>CONCATENATE(SUMIF($E$6:$E321,E321,$R$6:$R$370)," / ",SUMIF($E$6:$E$370,E321,$R$6:$R$370))</f>
        <v>0 / 0</v>
      </c>
      <c r="T321" s="28" t="str">
        <f>CONCATENATE(SUMIF($F$6:$F321,$F321,$R$6:$R$370)," / ",SUMIF($F$6:$F$370,$F321,$R$6:$R$370))</f>
        <v>0 / 0</v>
      </c>
      <c r="U321" s="28" t="str">
        <f>CONCATENATE(SUM($R$6:$R321)," / ",SUM($R$6:$R$370))</f>
        <v>0 / 0</v>
      </c>
    </row>
    <row r="322" spans="2:21" ht="13" thickBot="1">
      <c r="B322" s="28"/>
      <c r="C322" s="237">
        <f t="shared" si="30"/>
        <v>42686</v>
      </c>
      <c r="D322" s="35" t="str">
        <f t="shared" si="31"/>
        <v>samedi</v>
      </c>
      <c r="E322" s="124">
        <f t="shared" si="27"/>
        <v>46</v>
      </c>
      <c r="F322" s="124">
        <f t="shared" si="28"/>
        <v>11</v>
      </c>
      <c r="G322" s="27"/>
      <c r="H322" s="28" t="str">
        <f>CONCATENATE(SUMIF($E$6:$E322,$E322,$K$6:$K$370)," / ",SUMIF($E$6:$E$370,$E322,$K$6:$K686))</f>
        <v>0 / 0</v>
      </c>
      <c r="I322" s="28" t="str">
        <f>CONCATENATE(SUMIF($F$6:$F322,$F322,$K$6:$K686)," / ",SUMIF($F$6:$F$370,$F322,$K$6:$K686))</f>
        <v>0 / 0</v>
      </c>
      <c r="J322" s="28" t="str">
        <f>CONCATENATE(SUM($K$6:$K322)," / ",SUM($K$6:$K$370))</f>
        <v>180,895 / 180,895</v>
      </c>
      <c r="K322" s="245">
        <v>0</v>
      </c>
      <c r="L322" s="28"/>
      <c r="M322" s="28" t="str">
        <f>CONCATENATE(SUMIF($E$6:$E322,$E322,$P$6:$P$370)," / ",SUMIF($E$6:$E$370,$E322,$P$6:$P$370))</f>
        <v>0 / 0</v>
      </c>
      <c r="N322" s="28" t="str">
        <f ca="1">CONCATENATE(SUMIF($F$6:$F322,$F322,$P322)," / ",SUMIF($F$6:$F$370,$F322,$P$6:$P$370))</f>
        <v>0 / 0</v>
      </c>
      <c r="O322" s="28" t="str">
        <f t="shared" si="29"/>
        <v>0 / 30</v>
      </c>
      <c r="P322" s="245">
        <v>0</v>
      </c>
      <c r="Q322" s="28"/>
      <c r="R322" s="246">
        <v>0</v>
      </c>
      <c r="S322" s="28" t="str">
        <f>CONCATENATE(SUMIF($E$6:$E322,E322,$R$6:$R$370)," / ",SUMIF($E$6:$E$370,E322,$R$6:$R$370))</f>
        <v>0 / 0</v>
      </c>
      <c r="T322" s="28" t="str">
        <f>CONCATENATE(SUMIF($F$6:$F322,$F322,$R$6:$R$370)," / ",SUMIF($F$6:$F$370,$F322,$R$6:$R$370))</f>
        <v>0 / 0</v>
      </c>
      <c r="U322" s="28" t="str">
        <f>CONCATENATE(SUM($R$6:$R322)," / ",SUM($R$6:$R$370))</f>
        <v>0 / 0</v>
      </c>
    </row>
    <row r="323" spans="2:21" ht="13" thickBot="1">
      <c r="B323" s="28"/>
      <c r="C323" s="237">
        <f t="shared" si="30"/>
        <v>42687</v>
      </c>
      <c r="D323" s="35" t="str">
        <f t="shared" si="31"/>
        <v>Dimanche</v>
      </c>
      <c r="E323" s="124">
        <f t="shared" si="27"/>
        <v>47</v>
      </c>
      <c r="F323" s="124">
        <f t="shared" si="28"/>
        <v>11</v>
      </c>
      <c r="G323" s="27"/>
      <c r="H323" s="28" t="str">
        <f>CONCATENATE(SUMIF($E$6:$E323,$E323,$K$6:$K$370)," / ",SUMIF($E$6:$E$370,$E323,$K$6:$K687))</f>
        <v>0 / 0</v>
      </c>
      <c r="I323" s="28" t="str">
        <f>CONCATENATE(SUMIF($F$6:$F323,$F323,$K$6:$K687)," / ",SUMIF($F$6:$F$370,$F323,$K$6:$K687))</f>
        <v>0 / 0</v>
      </c>
      <c r="J323" s="28" t="str">
        <f>CONCATENATE(SUM($K$6:$K323)," / ",SUM($K$6:$K$370))</f>
        <v>180,895 / 180,895</v>
      </c>
      <c r="K323" s="245">
        <v>0</v>
      </c>
      <c r="L323" s="28"/>
      <c r="M323" s="28" t="str">
        <f>CONCATENATE(SUMIF($E$6:$E323,$E323,$P$6:$P$370)," / ",SUMIF($E$6:$E$370,$E323,$P$6:$P$370))</f>
        <v>0 / 0</v>
      </c>
      <c r="N323" s="28" t="str">
        <f ca="1">CONCATENATE(SUMIF($F$6:$F323,$F323,$P323)," / ",SUMIF($F$6:$F$370,$F323,$P$6:$P$370))</f>
        <v>0 / 0</v>
      </c>
      <c r="O323" s="28" t="str">
        <f t="shared" si="29"/>
        <v>0 / 30</v>
      </c>
      <c r="P323" s="245">
        <v>0</v>
      </c>
      <c r="Q323" s="28"/>
      <c r="R323" s="246">
        <v>0</v>
      </c>
      <c r="S323" s="28" t="str">
        <f>CONCATENATE(SUMIF($E$6:$E323,E323,$R$6:$R$370)," / ",SUMIF($E$6:$E$370,E323,$R$6:$R$370))</f>
        <v>0 / 0</v>
      </c>
      <c r="T323" s="28" t="str">
        <f>CONCATENATE(SUMIF($F$6:$F323,$F323,$R$6:$R$370)," / ",SUMIF($F$6:$F$370,$F323,$R$6:$R$370))</f>
        <v>0 / 0</v>
      </c>
      <c r="U323" s="28" t="str">
        <f>CONCATENATE(SUM($R$6:$R323)," / ",SUM($R$6:$R$370))</f>
        <v>0 / 0</v>
      </c>
    </row>
    <row r="324" spans="2:21" ht="13" thickBot="1">
      <c r="B324" s="28"/>
      <c r="C324" s="237">
        <f t="shared" si="30"/>
        <v>42688</v>
      </c>
      <c r="D324" s="35" t="str">
        <f t="shared" si="31"/>
        <v>Lundi</v>
      </c>
      <c r="E324" s="124">
        <f t="shared" si="27"/>
        <v>47</v>
      </c>
      <c r="F324" s="124">
        <f t="shared" si="28"/>
        <v>11</v>
      </c>
      <c r="G324" s="27"/>
      <c r="H324" s="28" t="str">
        <f>CONCATENATE(SUMIF($E$6:$E324,$E324,$K$6:$K$370)," / ",SUMIF($E$6:$E$370,$E324,$K$6:$K688))</f>
        <v>0 / 0</v>
      </c>
      <c r="I324" s="28" t="str">
        <f>CONCATENATE(SUMIF($F$6:$F324,$F324,$K$6:$K688)," / ",SUMIF($F$6:$F$370,$F324,$K$6:$K688))</f>
        <v>0 / 0</v>
      </c>
      <c r="J324" s="28" t="str">
        <f>CONCATENATE(SUM($K$6:$K324)," / ",SUM($K$6:$K$370))</f>
        <v>180,895 / 180,895</v>
      </c>
      <c r="K324" s="245">
        <v>0</v>
      </c>
      <c r="L324" s="28"/>
      <c r="M324" s="28" t="str">
        <f>CONCATENATE(SUMIF($E$6:$E324,$E324,$P$6:$P$370)," / ",SUMIF($E$6:$E$370,$E324,$P$6:$P$370))</f>
        <v>0 / 0</v>
      </c>
      <c r="N324" s="28" t="str">
        <f ca="1">CONCATENATE(SUMIF($F$6:$F324,$F324,$P324)," / ",SUMIF($F$6:$F$370,$F324,$P$6:$P$370))</f>
        <v>0 / 0</v>
      </c>
      <c r="O324" s="28" t="str">
        <f t="shared" si="29"/>
        <v>0 / 30</v>
      </c>
      <c r="P324" s="245">
        <v>0</v>
      </c>
      <c r="Q324" s="28"/>
      <c r="R324" s="246">
        <v>0</v>
      </c>
      <c r="S324" s="28" t="str">
        <f>CONCATENATE(SUMIF($E$6:$E324,E324,$R$6:$R$370)," / ",SUMIF($E$6:$E$370,E324,$R$6:$R$370))</f>
        <v>0 / 0</v>
      </c>
      <c r="T324" s="28" t="str">
        <f>CONCATENATE(SUMIF($F$6:$F324,$F324,$R$6:$R$370)," / ",SUMIF($F$6:$F$370,$F324,$R$6:$R$370))</f>
        <v>0 / 0</v>
      </c>
      <c r="U324" s="28" t="str">
        <f>CONCATENATE(SUM($R$6:$R324)," / ",SUM($R$6:$R$370))</f>
        <v>0 / 0</v>
      </c>
    </row>
    <row r="325" spans="2:21" ht="13" thickBot="1">
      <c r="B325" s="28"/>
      <c r="C325" s="237">
        <f t="shared" si="30"/>
        <v>42689</v>
      </c>
      <c r="D325" s="35" t="str">
        <f t="shared" si="31"/>
        <v>Mardi</v>
      </c>
      <c r="E325" s="124">
        <f t="shared" si="27"/>
        <v>47</v>
      </c>
      <c r="F325" s="124">
        <f t="shared" si="28"/>
        <v>11</v>
      </c>
      <c r="G325" s="27"/>
      <c r="H325" s="28" t="str">
        <f>CONCATENATE(SUMIF($E$6:$E325,$E325,$K$6:$K$370)," / ",SUMIF($E$6:$E$370,$E325,$K$6:$K689))</f>
        <v>0 / 0</v>
      </c>
      <c r="I325" s="28" t="str">
        <f>CONCATENATE(SUMIF($F$6:$F325,$F325,$K$6:$K689)," / ",SUMIF($F$6:$F$370,$F325,$K$6:$K689))</f>
        <v>0 / 0</v>
      </c>
      <c r="J325" s="28" t="str">
        <f>CONCATENATE(SUM($K$6:$K325)," / ",SUM($K$6:$K$370))</f>
        <v>180,895 / 180,895</v>
      </c>
      <c r="K325" s="245">
        <v>0</v>
      </c>
      <c r="L325" s="28"/>
      <c r="M325" s="28" t="str">
        <f>CONCATENATE(SUMIF($E$6:$E325,$E325,$P$6:$P$370)," / ",SUMIF($E$6:$E$370,$E325,$P$6:$P$370))</f>
        <v>0 / 0</v>
      </c>
      <c r="N325" s="28" t="str">
        <f ca="1">CONCATENATE(SUMIF($F$6:$F325,$F325,$P325)," / ",SUMIF($F$6:$F$370,$F325,$P$6:$P$370))</f>
        <v>0 / 0</v>
      </c>
      <c r="O325" s="28" t="str">
        <f t="shared" si="29"/>
        <v>0 / 30</v>
      </c>
      <c r="P325" s="245">
        <v>0</v>
      </c>
      <c r="Q325" s="28"/>
      <c r="R325" s="246">
        <v>0</v>
      </c>
      <c r="S325" s="28" t="str">
        <f>CONCATENATE(SUMIF($E$6:$E325,E325,$R$6:$R$370)," / ",SUMIF($E$6:$E$370,E325,$R$6:$R$370))</f>
        <v>0 / 0</v>
      </c>
      <c r="T325" s="28" t="str">
        <f>CONCATENATE(SUMIF($F$6:$F325,$F325,$R$6:$R$370)," / ",SUMIF($F$6:$F$370,$F325,$R$6:$R$370))</f>
        <v>0 / 0</v>
      </c>
      <c r="U325" s="28" t="str">
        <f>CONCATENATE(SUM($R$6:$R325)," / ",SUM($R$6:$R$370))</f>
        <v>0 / 0</v>
      </c>
    </row>
    <row r="326" spans="2:21" ht="13" thickBot="1">
      <c r="B326" s="28"/>
      <c r="C326" s="237">
        <f t="shared" si="30"/>
        <v>42690</v>
      </c>
      <c r="D326" s="35" t="str">
        <f t="shared" si="31"/>
        <v>Mercredi</v>
      </c>
      <c r="E326" s="124">
        <f t="shared" si="27"/>
        <v>47</v>
      </c>
      <c r="F326" s="124">
        <f t="shared" si="28"/>
        <v>11</v>
      </c>
      <c r="G326" s="27"/>
      <c r="H326" s="28" t="str">
        <f>CONCATENATE(SUMIF($E$6:$E326,$E326,$K$6:$K$370)," / ",SUMIF($E$6:$E$370,$E326,$K$6:$K690))</f>
        <v>0 / 0</v>
      </c>
      <c r="I326" s="28" t="str">
        <f>CONCATENATE(SUMIF($F$6:$F326,$F326,$K$6:$K690)," / ",SUMIF($F$6:$F$370,$F326,$K$6:$K690))</f>
        <v>0 / 0</v>
      </c>
      <c r="J326" s="28" t="str">
        <f>CONCATENATE(SUM($K$6:$K326)," / ",SUM($K$6:$K$370))</f>
        <v>180,895 / 180,895</v>
      </c>
      <c r="K326" s="245">
        <v>0</v>
      </c>
      <c r="L326" s="28"/>
      <c r="M326" s="28" t="str">
        <f>CONCATENATE(SUMIF($E$6:$E326,$E326,$P$6:$P$370)," / ",SUMIF($E$6:$E$370,$E326,$P$6:$P$370))</f>
        <v>0 / 0</v>
      </c>
      <c r="N326" s="28" t="str">
        <f ca="1">CONCATENATE(SUMIF($F$6:$F326,$F326,$P326)," / ",SUMIF($F$6:$F$370,$F326,$P$6:$P$370))</f>
        <v>0 / 0</v>
      </c>
      <c r="O326" s="28" t="str">
        <f t="shared" si="29"/>
        <v>0 / 30</v>
      </c>
      <c r="P326" s="245">
        <v>0</v>
      </c>
      <c r="Q326" s="28"/>
      <c r="R326" s="246">
        <v>0</v>
      </c>
      <c r="S326" s="28" t="str">
        <f>CONCATENATE(SUMIF($E$6:$E326,E326,$R$6:$R$370)," / ",SUMIF($E$6:$E$370,E326,$R$6:$R$370))</f>
        <v>0 / 0</v>
      </c>
      <c r="T326" s="28" t="str">
        <f>CONCATENATE(SUMIF($F$6:$F326,$F326,$R$6:$R$370)," / ",SUMIF($F$6:$F$370,$F326,$R$6:$R$370))</f>
        <v>0 / 0</v>
      </c>
      <c r="U326" s="28" t="str">
        <f>CONCATENATE(SUM($R$6:$R326)," / ",SUM($R$6:$R$370))</f>
        <v>0 / 0</v>
      </c>
    </row>
    <row r="327" spans="2:21" ht="13" thickBot="1">
      <c r="B327" s="28"/>
      <c r="C327" s="237">
        <f t="shared" si="30"/>
        <v>42691</v>
      </c>
      <c r="D327" s="35" t="str">
        <f t="shared" si="31"/>
        <v>Jeudi</v>
      </c>
      <c r="E327" s="124">
        <f t="shared" ref="E327:E370" si="32">WEEKNUM($C327)</f>
        <v>47</v>
      </c>
      <c r="F327" s="124">
        <f t="shared" ref="F327:F351" si="33">MONTH(C327)</f>
        <v>11</v>
      </c>
      <c r="G327" s="27"/>
      <c r="H327" s="28" t="str">
        <f>CONCATENATE(SUMIF($E$6:$E327,$E327,$K$6:$K$370)," / ",SUMIF($E$6:$E$370,$E327,$K$6:$K691))</f>
        <v>0 / 0</v>
      </c>
      <c r="I327" s="28" t="str">
        <f>CONCATENATE(SUMIF($F$6:$F327,$F327,$K$6:$K691)," / ",SUMIF($F$6:$F$370,$F327,$K$6:$K691))</f>
        <v>0 / 0</v>
      </c>
      <c r="J327" s="28" t="str">
        <f>CONCATENATE(SUM($K$6:$K327)," / ",SUM($K$6:$K$370))</f>
        <v>180,895 / 180,895</v>
      </c>
      <c r="K327" s="245">
        <v>0</v>
      </c>
      <c r="L327" s="28"/>
      <c r="M327" s="28" t="str">
        <f>CONCATENATE(SUMIF($E$6:$E327,$E327,$P$6:$P$370)," / ",SUMIF($E$6:$E$370,$E327,$P$6:$P$370))</f>
        <v>0 / 0</v>
      </c>
      <c r="N327" s="28" t="str">
        <f ca="1">CONCATENATE(SUMIF($F$6:$F327,$F327,$P327)," / ",SUMIF($F$6:$F$370,$F327,$P$6:$P$370))</f>
        <v>0 / 0</v>
      </c>
      <c r="O327" s="28" t="str">
        <f t="shared" ref="O327:O370" si="34">CONCATENATE(SUM($P327)," / ",SUM($P$6:$P$370))</f>
        <v>0 / 30</v>
      </c>
      <c r="P327" s="245">
        <v>0</v>
      </c>
      <c r="Q327" s="28"/>
      <c r="R327" s="246">
        <v>0</v>
      </c>
      <c r="S327" s="28" t="str">
        <f>CONCATENATE(SUMIF($E$6:$E327,E327,$R$6:$R$370)," / ",SUMIF($E$6:$E$370,E327,$R$6:$R$370))</f>
        <v>0 / 0</v>
      </c>
      <c r="T327" s="28" t="str">
        <f>CONCATENATE(SUMIF($F$6:$F327,$F327,$R$6:$R$370)," / ",SUMIF($F$6:$F$370,$F327,$R$6:$R$370))</f>
        <v>0 / 0</v>
      </c>
      <c r="U327" s="28" t="str">
        <f>CONCATENATE(SUM($R$6:$R327)," / ",SUM($R$6:$R$370))</f>
        <v>0 / 0</v>
      </c>
    </row>
    <row r="328" spans="2:21" ht="13" thickBot="1">
      <c r="B328" s="28"/>
      <c r="C328" s="237">
        <f t="shared" ref="C328:C370" si="35">C327+1</f>
        <v>42692</v>
      </c>
      <c r="D328" s="35" t="str">
        <f t="shared" si="31"/>
        <v>Vendredi</v>
      </c>
      <c r="E328" s="124">
        <f t="shared" si="32"/>
        <v>47</v>
      </c>
      <c r="F328" s="124">
        <f t="shared" si="33"/>
        <v>11</v>
      </c>
      <c r="G328" s="27"/>
      <c r="H328" s="28" t="str">
        <f>CONCATENATE(SUMIF($E$6:$E328,$E328,$K$6:$K$370)," / ",SUMIF($E$6:$E$370,$E328,$K$6:$K692))</f>
        <v>0 / 0</v>
      </c>
      <c r="I328" s="28" t="str">
        <f>CONCATENATE(SUMIF($F$6:$F328,$F328,$K$6:$K692)," / ",SUMIF($F$6:$F$370,$F328,$K$6:$K692))</f>
        <v>0 / 0</v>
      </c>
      <c r="J328" s="28" t="str">
        <f>CONCATENATE(SUM($K$6:$K328)," / ",SUM($K$6:$K$370))</f>
        <v>180,895 / 180,895</v>
      </c>
      <c r="K328" s="245">
        <v>0</v>
      </c>
      <c r="L328" s="28"/>
      <c r="M328" s="28" t="str">
        <f>CONCATENATE(SUMIF($E$6:$E328,$E328,$P$6:$P$370)," / ",SUMIF($E$6:$E$370,$E328,$P$6:$P$370))</f>
        <v>0 / 0</v>
      </c>
      <c r="N328" s="28" t="str">
        <f ca="1">CONCATENATE(SUMIF($F$6:$F328,$F328,$P328)," / ",SUMIF($F$6:$F$370,$F328,$P$6:$P$370))</f>
        <v>0 / 0</v>
      </c>
      <c r="O328" s="28" t="str">
        <f t="shared" si="34"/>
        <v>0 / 30</v>
      </c>
      <c r="P328" s="245">
        <v>0</v>
      </c>
      <c r="Q328" s="28"/>
      <c r="R328" s="246">
        <v>0</v>
      </c>
      <c r="S328" s="28" t="str">
        <f>CONCATENATE(SUMIF($E$6:$E328,E328,$R$6:$R$370)," / ",SUMIF($E$6:$E$370,E328,$R$6:$R$370))</f>
        <v>0 / 0</v>
      </c>
      <c r="T328" s="28" t="str">
        <f>CONCATENATE(SUMIF($F$6:$F328,$F328,$R$6:$R$370)," / ",SUMIF($F$6:$F$370,$F328,$R$6:$R$370))</f>
        <v>0 / 0</v>
      </c>
      <c r="U328" s="28" t="str">
        <f>CONCATENATE(SUM($R$6:$R328)," / ",SUM($R$6:$R$370))</f>
        <v>0 / 0</v>
      </c>
    </row>
    <row r="329" spans="2:21" ht="13" thickBot="1">
      <c r="B329" s="28"/>
      <c r="C329" s="237">
        <f t="shared" si="35"/>
        <v>42693</v>
      </c>
      <c r="D329" s="35" t="str">
        <f t="shared" si="31"/>
        <v>samedi</v>
      </c>
      <c r="E329" s="124">
        <f t="shared" si="32"/>
        <v>47</v>
      </c>
      <c r="F329" s="124">
        <f t="shared" si="33"/>
        <v>11</v>
      </c>
      <c r="G329" s="27"/>
      <c r="H329" s="28" t="str">
        <f>CONCATENATE(SUMIF($E$6:$E329,$E329,$K$6:$K$370)," / ",SUMIF($E$6:$E$370,$E329,$K$6:$K693))</f>
        <v>0 / 0</v>
      </c>
      <c r="I329" s="28" t="str">
        <f>CONCATENATE(SUMIF($F$6:$F329,$F329,$K$6:$K693)," / ",SUMIF($F$6:$F$370,$F329,$K$6:$K693))</f>
        <v>0 / 0</v>
      </c>
      <c r="J329" s="28" t="str">
        <f>CONCATENATE(SUM($K$6:$K329)," / ",SUM($K$6:$K$370))</f>
        <v>180,895 / 180,895</v>
      </c>
      <c r="K329" s="245">
        <v>0</v>
      </c>
      <c r="L329" s="28"/>
      <c r="M329" s="28" t="str">
        <f>CONCATENATE(SUMIF($E$6:$E329,$E329,$P$6:$P$370)," / ",SUMIF($E$6:$E$370,$E329,$P$6:$P$370))</f>
        <v>0 / 0</v>
      </c>
      <c r="N329" s="28" t="str">
        <f ca="1">CONCATENATE(SUMIF($F$6:$F329,$F329,$P329)," / ",SUMIF($F$6:$F$370,$F329,$P$6:$P$370))</f>
        <v>0 / 0</v>
      </c>
      <c r="O329" s="28" t="str">
        <f t="shared" si="34"/>
        <v>0 / 30</v>
      </c>
      <c r="P329" s="245">
        <v>0</v>
      </c>
      <c r="Q329" s="28"/>
      <c r="R329" s="246">
        <v>0</v>
      </c>
      <c r="S329" s="28" t="str">
        <f>CONCATENATE(SUMIF($E$6:$E329,E329,$R$6:$R$370)," / ",SUMIF($E$6:$E$370,E329,$R$6:$R$370))</f>
        <v>0 / 0</v>
      </c>
      <c r="T329" s="28" t="str">
        <f>CONCATENATE(SUMIF($F$6:$F329,$F329,$R$6:$R$370)," / ",SUMIF($F$6:$F$370,$F329,$R$6:$R$370))</f>
        <v>0 / 0</v>
      </c>
      <c r="U329" s="28" t="str">
        <f>CONCATENATE(SUM($R$6:$R329)," / ",SUM($R$6:$R$370))</f>
        <v>0 / 0</v>
      </c>
    </row>
    <row r="330" spans="2:21" ht="13" thickBot="1">
      <c r="B330" s="28"/>
      <c r="C330" s="237">
        <f t="shared" si="35"/>
        <v>42694</v>
      </c>
      <c r="D330" s="35" t="str">
        <f t="shared" si="31"/>
        <v>Dimanche</v>
      </c>
      <c r="E330" s="124">
        <f t="shared" si="32"/>
        <v>48</v>
      </c>
      <c r="F330" s="124">
        <f t="shared" si="33"/>
        <v>11</v>
      </c>
      <c r="G330" s="27"/>
      <c r="H330" s="28" t="str">
        <f>CONCATENATE(SUMIF($E$6:$E330,$E330,$K$6:$K$370)," / ",SUMIF($E$6:$E$370,$E330,$K$6:$K694))</f>
        <v>0 / 0</v>
      </c>
      <c r="I330" s="28" t="str">
        <f>CONCATENATE(SUMIF($F$6:$F330,$F330,$K$6:$K694)," / ",SUMIF($F$6:$F$370,$F330,$K$6:$K694))</f>
        <v>0 / 0</v>
      </c>
      <c r="J330" s="28" t="str">
        <f>CONCATENATE(SUM($K$6:$K330)," / ",SUM($K$6:$K$370))</f>
        <v>180,895 / 180,895</v>
      </c>
      <c r="K330" s="245">
        <v>0</v>
      </c>
      <c r="L330" s="28"/>
      <c r="M330" s="28" t="str">
        <f>CONCATENATE(SUMIF($E$6:$E330,$E330,$P$6:$P$370)," / ",SUMIF($E$6:$E$370,$E330,$P$6:$P$370))</f>
        <v>0 / 0</v>
      </c>
      <c r="N330" s="28" t="str">
        <f ca="1">CONCATENATE(SUMIF($F$6:$F330,$F330,$P330)," / ",SUMIF($F$6:$F$370,$F330,$P$6:$P$370))</f>
        <v>0 / 0</v>
      </c>
      <c r="O330" s="28" t="str">
        <f t="shared" si="34"/>
        <v>0 / 30</v>
      </c>
      <c r="P330" s="245">
        <v>0</v>
      </c>
      <c r="Q330" s="28"/>
      <c r="R330" s="246">
        <v>0</v>
      </c>
      <c r="S330" s="28" t="str">
        <f>CONCATENATE(SUMIF($E$6:$E330,E330,$R$6:$R$370)," / ",SUMIF($E$6:$E$370,E330,$R$6:$R$370))</f>
        <v>0 / 0</v>
      </c>
      <c r="T330" s="28" t="str">
        <f>CONCATENATE(SUMIF($F$6:$F330,$F330,$R$6:$R$370)," / ",SUMIF($F$6:$F$370,$F330,$R$6:$R$370))</f>
        <v>0 / 0</v>
      </c>
      <c r="U330" s="28" t="str">
        <f>CONCATENATE(SUM($R$6:$R330)," / ",SUM($R$6:$R$370))</f>
        <v>0 / 0</v>
      </c>
    </row>
    <row r="331" spans="2:21" ht="13" thickBot="1">
      <c r="B331" s="28"/>
      <c r="C331" s="237">
        <f t="shared" si="35"/>
        <v>42695</v>
      </c>
      <c r="D331" s="35" t="str">
        <f t="shared" si="31"/>
        <v>Lundi</v>
      </c>
      <c r="E331" s="124">
        <f t="shared" si="32"/>
        <v>48</v>
      </c>
      <c r="F331" s="124">
        <f t="shared" si="33"/>
        <v>11</v>
      </c>
      <c r="G331" s="27"/>
      <c r="H331" s="28" t="str">
        <f>CONCATENATE(SUMIF($E$6:$E331,$E331,$K$6:$K$370)," / ",SUMIF($E$6:$E$370,$E331,$K$6:$K695))</f>
        <v>0 / 0</v>
      </c>
      <c r="I331" s="28" t="str">
        <f>CONCATENATE(SUMIF($F$6:$F331,$F331,$K$6:$K695)," / ",SUMIF($F$6:$F$370,$F331,$K$6:$K695))</f>
        <v>0 / 0</v>
      </c>
      <c r="J331" s="28" t="str">
        <f>CONCATENATE(SUM($K$6:$K331)," / ",SUM($K$6:$K$370))</f>
        <v>180,895 / 180,895</v>
      </c>
      <c r="K331" s="245">
        <v>0</v>
      </c>
      <c r="L331" s="28"/>
      <c r="M331" s="28" t="str">
        <f>CONCATENATE(SUMIF($E$6:$E331,$E331,$P$6:$P$370)," / ",SUMIF($E$6:$E$370,$E331,$P$6:$P$370))</f>
        <v>0 / 0</v>
      </c>
      <c r="N331" s="28" t="str">
        <f ca="1">CONCATENATE(SUMIF($F$6:$F331,$F331,$P331)," / ",SUMIF($F$6:$F$370,$F331,$P$6:$P$370))</f>
        <v>0 / 0</v>
      </c>
      <c r="O331" s="28" t="str">
        <f t="shared" si="34"/>
        <v>0 / 30</v>
      </c>
      <c r="P331" s="245">
        <v>0</v>
      </c>
      <c r="Q331" s="28"/>
      <c r="R331" s="246">
        <v>0</v>
      </c>
      <c r="S331" s="28" t="str">
        <f>CONCATENATE(SUMIF($E$6:$E331,E331,$R$6:$R$370)," / ",SUMIF($E$6:$E$370,E331,$R$6:$R$370))</f>
        <v>0 / 0</v>
      </c>
      <c r="T331" s="28" t="str">
        <f>CONCATENATE(SUMIF($F$6:$F331,$F331,$R$6:$R$370)," / ",SUMIF($F$6:$F$370,$F331,$R$6:$R$370))</f>
        <v>0 / 0</v>
      </c>
      <c r="U331" s="28" t="str">
        <f>CONCATENATE(SUM($R$6:$R331)," / ",SUM($R$6:$R$370))</f>
        <v>0 / 0</v>
      </c>
    </row>
    <row r="332" spans="2:21" ht="13" thickBot="1">
      <c r="B332" s="28"/>
      <c r="C332" s="237">
        <f t="shared" si="35"/>
        <v>42696</v>
      </c>
      <c r="D332" s="35" t="str">
        <f t="shared" si="31"/>
        <v>Mardi</v>
      </c>
      <c r="E332" s="124">
        <f t="shared" si="32"/>
        <v>48</v>
      </c>
      <c r="F332" s="124">
        <f t="shared" si="33"/>
        <v>11</v>
      </c>
      <c r="G332" s="27"/>
      <c r="H332" s="28" t="str">
        <f>CONCATENATE(SUMIF($E$6:$E332,$E332,$K$6:$K$370)," / ",SUMIF($E$6:$E$370,$E332,$K$6:$K696))</f>
        <v>0 / 0</v>
      </c>
      <c r="I332" s="28" t="str">
        <f>CONCATENATE(SUMIF($F$6:$F332,$F332,$K$6:$K696)," / ",SUMIF($F$6:$F$370,$F332,$K$6:$K696))</f>
        <v>0 / 0</v>
      </c>
      <c r="J332" s="28" t="str">
        <f>CONCATENATE(SUM($K$6:$K332)," / ",SUM($K$6:$K$370))</f>
        <v>180,895 / 180,895</v>
      </c>
      <c r="K332" s="245">
        <v>0</v>
      </c>
      <c r="L332" s="28"/>
      <c r="M332" s="28" t="str">
        <f>CONCATENATE(SUMIF($E$6:$E332,$E332,$P$6:$P$370)," / ",SUMIF($E$6:$E$370,$E332,$P$6:$P$370))</f>
        <v>0 / 0</v>
      </c>
      <c r="N332" s="28" t="str">
        <f ca="1">CONCATENATE(SUMIF($F$6:$F332,$F332,$P332)," / ",SUMIF($F$6:$F$370,$F332,$P$6:$P$370))</f>
        <v>0 / 0</v>
      </c>
      <c r="O332" s="28" t="str">
        <f t="shared" si="34"/>
        <v>0 / 30</v>
      </c>
      <c r="P332" s="245">
        <v>0</v>
      </c>
      <c r="Q332" s="28"/>
      <c r="R332" s="246">
        <v>0</v>
      </c>
      <c r="S332" s="28" t="str">
        <f>CONCATENATE(SUMIF($E$6:$E332,E332,$R$6:$R$370)," / ",SUMIF($E$6:$E$370,E332,$R$6:$R$370))</f>
        <v>0 / 0</v>
      </c>
      <c r="T332" s="28" t="str">
        <f>CONCATENATE(SUMIF($F$6:$F332,$F332,$R$6:$R$370)," / ",SUMIF($F$6:$F$370,$F332,$R$6:$R$370))</f>
        <v>0 / 0</v>
      </c>
      <c r="U332" s="28" t="str">
        <f>CONCATENATE(SUM($R$6:$R332)," / ",SUM($R$6:$R$370))</f>
        <v>0 / 0</v>
      </c>
    </row>
    <row r="333" spans="2:21" ht="13" thickBot="1">
      <c r="B333" s="28"/>
      <c r="C333" s="237">
        <f t="shared" si="35"/>
        <v>42697</v>
      </c>
      <c r="D333" s="35" t="str">
        <f t="shared" si="31"/>
        <v>Mercredi</v>
      </c>
      <c r="E333" s="124">
        <f t="shared" si="32"/>
        <v>48</v>
      </c>
      <c r="F333" s="124">
        <f t="shared" si="33"/>
        <v>11</v>
      </c>
      <c r="G333" s="27"/>
      <c r="H333" s="28" t="str">
        <f>CONCATENATE(SUMIF($E$6:$E333,$E333,$K$6:$K$370)," / ",SUMIF($E$6:$E$370,$E333,$K$6:$K697))</f>
        <v>0 / 0</v>
      </c>
      <c r="I333" s="28" t="str">
        <f>CONCATENATE(SUMIF($F$6:$F333,$F333,$K$6:$K697)," / ",SUMIF($F$6:$F$370,$F333,$K$6:$K697))</f>
        <v>0 / 0</v>
      </c>
      <c r="J333" s="28" t="str">
        <f>CONCATENATE(SUM($K$6:$K333)," / ",SUM($K$6:$K$370))</f>
        <v>180,895 / 180,895</v>
      </c>
      <c r="K333" s="245">
        <v>0</v>
      </c>
      <c r="L333" s="28"/>
      <c r="M333" s="28" t="str">
        <f>CONCATENATE(SUMIF($E$6:$E333,$E333,$P$6:$P$370)," / ",SUMIF($E$6:$E$370,$E333,$P$6:$P$370))</f>
        <v>0 / 0</v>
      </c>
      <c r="N333" s="28" t="str">
        <f ca="1">CONCATENATE(SUMIF($F$6:$F333,$F333,$P333)," / ",SUMIF($F$6:$F$370,$F333,$P$6:$P$370))</f>
        <v>0 / 0</v>
      </c>
      <c r="O333" s="28" t="str">
        <f t="shared" si="34"/>
        <v>0 / 30</v>
      </c>
      <c r="P333" s="245">
        <v>0</v>
      </c>
      <c r="Q333" s="28"/>
      <c r="R333" s="246">
        <v>0</v>
      </c>
      <c r="S333" s="28" t="str">
        <f>CONCATENATE(SUMIF($E$6:$E333,E333,$R$6:$R$370)," / ",SUMIF($E$6:$E$370,E333,$R$6:$R$370))</f>
        <v>0 / 0</v>
      </c>
      <c r="T333" s="28" t="str">
        <f>CONCATENATE(SUMIF($F$6:$F333,$F333,$R$6:$R$370)," / ",SUMIF($F$6:$F$370,$F333,$R$6:$R$370))</f>
        <v>0 / 0</v>
      </c>
      <c r="U333" s="28" t="str">
        <f>CONCATENATE(SUM($R$6:$R333)," / ",SUM($R$6:$R$370))</f>
        <v>0 / 0</v>
      </c>
    </row>
    <row r="334" spans="2:21" ht="13" thickBot="1">
      <c r="B334" s="28"/>
      <c r="C334" s="237">
        <f t="shared" si="35"/>
        <v>42698</v>
      </c>
      <c r="D334" s="35" t="str">
        <f t="shared" si="31"/>
        <v>Jeudi</v>
      </c>
      <c r="E334" s="124">
        <f t="shared" si="32"/>
        <v>48</v>
      </c>
      <c r="F334" s="124">
        <f t="shared" si="33"/>
        <v>11</v>
      </c>
      <c r="G334" s="27"/>
      <c r="H334" s="28" t="str">
        <f>CONCATENATE(SUMIF($E$6:$E334,$E334,$K$6:$K$370)," / ",SUMIF($E$6:$E$370,$E334,$K$6:$K698))</f>
        <v>0 / 0</v>
      </c>
      <c r="I334" s="28" t="str">
        <f>CONCATENATE(SUMIF($F$6:$F334,$F334,$K$6:$K698)," / ",SUMIF($F$6:$F$370,$F334,$K$6:$K698))</f>
        <v>0 / 0</v>
      </c>
      <c r="J334" s="28" t="str">
        <f>CONCATENATE(SUM($K$6:$K334)," / ",SUM($K$6:$K$370))</f>
        <v>180,895 / 180,895</v>
      </c>
      <c r="K334" s="245">
        <v>0</v>
      </c>
      <c r="L334" s="28"/>
      <c r="M334" s="28" t="str">
        <f>CONCATENATE(SUMIF($E$6:$E334,$E334,$P$6:$P$370)," / ",SUMIF($E$6:$E$370,$E334,$P$6:$P$370))</f>
        <v>0 / 0</v>
      </c>
      <c r="N334" s="28" t="str">
        <f ca="1">CONCATENATE(SUMIF($F$6:$F334,$F334,$P334)," / ",SUMIF($F$6:$F$370,$F334,$P$6:$P$370))</f>
        <v>0 / 0</v>
      </c>
      <c r="O334" s="28" t="str">
        <f t="shared" si="34"/>
        <v>0 / 30</v>
      </c>
      <c r="P334" s="245">
        <v>0</v>
      </c>
      <c r="Q334" s="28"/>
      <c r="R334" s="246">
        <v>0</v>
      </c>
      <c r="S334" s="28" t="str">
        <f>CONCATENATE(SUMIF($E$6:$E334,E334,$R$6:$R$370)," / ",SUMIF($E$6:$E$370,E334,$R$6:$R$370))</f>
        <v>0 / 0</v>
      </c>
      <c r="T334" s="28" t="str">
        <f>CONCATENATE(SUMIF($F$6:$F334,$F334,$R$6:$R$370)," / ",SUMIF($F$6:$F$370,$F334,$R$6:$R$370))</f>
        <v>0 / 0</v>
      </c>
      <c r="U334" s="28" t="str">
        <f>CONCATENATE(SUM($R$6:$R334)," / ",SUM($R$6:$R$370))</f>
        <v>0 / 0</v>
      </c>
    </row>
    <row r="335" spans="2:21" ht="13" thickBot="1">
      <c r="B335" s="28"/>
      <c r="C335" s="237">
        <f t="shared" si="35"/>
        <v>42699</v>
      </c>
      <c r="D335" s="35" t="str">
        <f t="shared" si="31"/>
        <v>Vendredi</v>
      </c>
      <c r="E335" s="124">
        <f t="shared" si="32"/>
        <v>48</v>
      </c>
      <c r="F335" s="124">
        <f t="shared" si="33"/>
        <v>11</v>
      </c>
      <c r="G335" s="27"/>
      <c r="H335" s="28" t="str">
        <f>CONCATENATE(SUMIF($E$6:$E335,$E335,$K$6:$K$370)," / ",SUMIF($E$6:$E$370,$E335,$K$6:$K699))</f>
        <v>0 / 0</v>
      </c>
      <c r="I335" s="28" t="str">
        <f>CONCATENATE(SUMIF($F$6:$F335,$F335,$K$6:$K699)," / ",SUMIF($F$6:$F$370,$F335,$K$6:$K699))</f>
        <v>0 / 0</v>
      </c>
      <c r="J335" s="28" t="str">
        <f>CONCATENATE(SUM($K$6:$K335)," / ",SUM($K$6:$K$370))</f>
        <v>180,895 / 180,895</v>
      </c>
      <c r="K335" s="245">
        <v>0</v>
      </c>
      <c r="L335" s="28"/>
      <c r="M335" s="28" t="str">
        <f>CONCATENATE(SUMIF($E$6:$E335,$E335,$P$6:$P$370)," / ",SUMIF($E$6:$E$370,$E335,$P$6:$P$370))</f>
        <v>0 / 0</v>
      </c>
      <c r="N335" s="28" t="str">
        <f ca="1">CONCATENATE(SUMIF($F$6:$F335,$F335,$P335)," / ",SUMIF($F$6:$F$370,$F335,$P$6:$P$370))</f>
        <v>0 / 0</v>
      </c>
      <c r="O335" s="28" t="str">
        <f t="shared" si="34"/>
        <v>0 / 30</v>
      </c>
      <c r="P335" s="245">
        <v>0</v>
      </c>
      <c r="Q335" s="28"/>
      <c r="R335" s="246">
        <v>0</v>
      </c>
      <c r="S335" s="28" t="str">
        <f>CONCATENATE(SUMIF($E$6:$E335,E335,$R$6:$R$370)," / ",SUMIF($E$6:$E$370,E335,$R$6:$R$370))</f>
        <v>0 / 0</v>
      </c>
      <c r="T335" s="28" t="str">
        <f>CONCATENATE(SUMIF($F$6:$F335,$F335,$R$6:$R$370)," / ",SUMIF($F$6:$F$370,$F335,$R$6:$R$370))</f>
        <v>0 / 0</v>
      </c>
      <c r="U335" s="28" t="str">
        <f>CONCATENATE(SUM($R$6:$R335)," / ",SUM($R$6:$R$370))</f>
        <v>0 / 0</v>
      </c>
    </row>
    <row r="336" spans="2:21" ht="13" thickBot="1">
      <c r="B336" s="28"/>
      <c r="C336" s="237">
        <f t="shared" si="35"/>
        <v>42700</v>
      </c>
      <c r="D336" s="35" t="str">
        <f t="shared" si="31"/>
        <v>samedi</v>
      </c>
      <c r="E336" s="124">
        <f t="shared" si="32"/>
        <v>48</v>
      </c>
      <c r="F336" s="124">
        <f t="shared" si="33"/>
        <v>11</v>
      </c>
      <c r="G336" s="27"/>
      <c r="H336" s="28" t="str">
        <f>CONCATENATE(SUMIF($E$6:$E336,$E336,$K$6:$K$370)," / ",SUMIF($E$6:$E$370,$E336,$K$6:$K700))</f>
        <v>0 / 0</v>
      </c>
      <c r="I336" s="28" t="str">
        <f>CONCATENATE(SUMIF($F$6:$F336,$F336,$K$6:$K700)," / ",SUMIF($F$6:$F$370,$F336,$K$6:$K700))</f>
        <v>0 / 0</v>
      </c>
      <c r="J336" s="28" t="str">
        <f>CONCATENATE(SUM($K$6:$K336)," / ",SUM($K$6:$K$370))</f>
        <v>180,895 / 180,895</v>
      </c>
      <c r="K336" s="245">
        <v>0</v>
      </c>
      <c r="L336" s="28"/>
      <c r="M336" s="28" t="str">
        <f>CONCATENATE(SUMIF($E$6:$E336,$E336,$P$6:$P$370)," / ",SUMIF($E$6:$E$370,$E336,$P$6:$P$370))</f>
        <v>0 / 0</v>
      </c>
      <c r="N336" s="28" t="str">
        <f ca="1">CONCATENATE(SUMIF($F$6:$F336,$F336,$P336)," / ",SUMIF($F$6:$F$370,$F336,$P$6:$P$370))</f>
        <v>0 / 0</v>
      </c>
      <c r="O336" s="28" t="str">
        <f t="shared" si="34"/>
        <v>0 / 30</v>
      </c>
      <c r="P336" s="245">
        <v>0</v>
      </c>
      <c r="Q336" s="28"/>
      <c r="R336" s="246">
        <v>0</v>
      </c>
      <c r="S336" s="28" t="str">
        <f>CONCATENATE(SUMIF($E$6:$E336,E336,$R$6:$R$370)," / ",SUMIF($E$6:$E$370,E336,$R$6:$R$370))</f>
        <v>0 / 0</v>
      </c>
      <c r="T336" s="28" t="str">
        <f>CONCATENATE(SUMIF($F$6:$F336,$F336,$R$6:$R$370)," / ",SUMIF($F$6:$F$370,$F336,$R$6:$R$370))</f>
        <v>0 / 0</v>
      </c>
      <c r="U336" s="28" t="str">
        <f>CONCATENATE(SUM($R$6:$R336)," / ",SUM($R$6:$R$370))</f>
        <v>0 / 0</v>
      </c>
    </row>
    <row r="337" spans="2:21" ht="13" thickBot="1">
      <c r="B337" s="28"/>
      <c r="C337" s="237">
        <f t="shared" si="35"/>
        <v>42701</v>
      </c>
      <c r="D337" s="35" t="str">
        <f t="shared" si="31"/>
        <v>Dimanche</v>
      </c>
      <c r="E337" s="124">
        <f t="shared" si="32"/>
        <v>49</v>
      </c>
      <c r="F337" s="124">
        <f t="shared" si="33"/>
        <v>11</v>
      </c>
      <c r="G337" s="27"/>
      <c r="H337" s="28" t="str">
        <f>CONCATENATE(SUMIF($E$6:$E337,$E337,$K$6:$K$370)," / ",SUMIF($E$6:$E$370,$E337,$K$6:$K701))</f>
        <v>0 / 0</v>
      </c>
      <c r="I337" s="28" t="str">
        <f>CONCATENATE(SUMIF($F$6:$F337,$F337,$K$6:$K701)," / ",SUMIF($F$6:$F$370,$F337,$K$6:$K701))</f>
        <v>0 / 0</v>
      </c>
      <c r="J337" s="28" t="str">
        <f>CONCATENATE(SUM($K$6:$K337)," / ",SUM($K$6:$K$370))</f>
        <v>180,895 / 180,895</v>
      </c>
      <c r="K337" s="245">
        <v>0</v>
      </c>
      <c r="L337" s="28"/>
      <c r="M337" s="28" t="str">
        <f>CONCATENATE(SUMIF($E$6:$E337,$E337,$P$6:$P$370)," / ",SUMIF($E$6:$E$370,$E337,$P$6:$P$370))</f>
        <v>0 / 0</v>
      </c>
      <c r="N337" s="28" t="str">
        <f ca="1">CONCATENATE(SUMIF($F$6:$F337,$F337,$P337)," / ",SUMIF($F$6:$F$370,$F337,$P$6:$P$370))</f>
        <v>0 / 0</v>
      </c>
      <c r="O337" s="28" t="str">
        <f t="shared" si="34"/>
        <v>0 / 30</v>
      </c>
      <c r="P337" s="245">
        <v>0</v>
      </c>
      <c r="Q337" s="28"/>
      <c r="R337" s="246">
        <v>0</v>
      </c>
      <c r="S337" s="28" t="str">
        <f>CONCATENATE(SUMIF($E$6:$E337,E337,$R$6:$R$370)," / ",SUMIF($E$6:$E$370,E337,$R$6:$R$370))</f>
        <v>0 / 0</v>
      </c>
      <c r="T337" s="28" t="str">
        <f>CONCATENATE(SUMIF($F$6:$F337,$F337,$R$6:$R$370)," / ",SUMIF($F$6:$F$370,$F337,$R$6:$R$370))</f>
        <v>0 / 0</v>
      </c>
      <c r="U337" s="28" t="str">
        <f>CONCATENATE(SUM($R$6:$R337)," / ",SUM($R$6:$R$370))</f>
        <v>0 / 0</v>
      </c>
    </row>
    <row r="338" spans="2:21" ht="13" thickBot="1">
      <c r="B338" s="28"/>
      <c r="C338" s="237">
        <f t="shared" si="35"/>
        <v>42702</v>
      </c>
      <c r="D338" s="35" t="str">
        <f t="shared" si="31"/>
        <v>Lundi</v>
      </c>
      <c r="E338" s="124">
        <f t="shared" si="32"/>
        <v>49</v>
      </c>
      <c r="F338" s="124">
        <f t="shared" si="33"/>
        <v>11</v>
      </c>
      <c r="G338" s="27"/>
      <c r="H338" s="28" t="str">
        <f>CONCATENATE(SUMIF($E$6:$E338,$E338,$K$6:$K$370)," / ",SUMIF($E$6:$E$370,$E338,$K$6:$K702))</f>
        <v>0 / 0</v>
      </c>
      <c r="I338" s="28" t="str">
        <f>CONCATENATE(SUMIF($F$6:$F338,$F338,$K$6:$K702)," / ",SUMIF($F$6:$F$370,$F338,$K$6:$K702))</f>
        <v>0 / 0</v>
      </c>
      <c r="J338" s="28" t="str">
        <f>CONCATENATE(SUM($K$6:$K338)," / ",SUM($K$6:$K$370))</f>
        <v>180,895 / 180,895</v>
      </c>
      <c r="K338" s="245">
        <v>0</v>
      </c>
      <c r="L338" s="28"/>
      <c r="M338" s="28" t="str">
        <f>CONCATENATE(SUMIF($E$6:$E338,$E338,$P$6:$P$370)," / ",SUMIF($E$6:$E$370,$E338,$P$6:$P$370))</f>
        <v>0 / 0</v>
      </c>
      <c r="N338" s="28" t="str">
        <f ca="1">CONCATENATE(SUMIF($F$6:$F338,$F338,$P338)," / ",SUMIF($F$6:$F$370,$F338,$P$6:$P$370))</f>
        <v>0 / 0</v>
      </c>
      <c r="O338" s="28" t="str">
        <f t="shared" si="34"/>
        <v>0 / 30</v>
      </c>
      <c r="P338" s="245">
        <v>0</v>
      </c>
      <c r="Q338" s="28"/>
      <c r="R338" s="246">
        <v>0</v>
      </c>
      <c r="S338" s="28" t="str">
        <f>CONCATENATE(SUMIF($E$6:$E338,E338,$R$6:$R$370)," / ",SUMIF($E$6:$E$370,E338,$R$6:$R$370))</f>
        <v>0 / 0</v>
      </c>
      <c r="T338" s="28" t="str">
        <f>CONCATENATE(SUMIF($F$6:$F338,$F338,$R$6:$R$370)," / ",SUMIF($F$6:$F$370,$F338,$R$6:$R$370))</f>
        <v>0 / 0</v>
      </c>
      <c r="U338" s="28" t="str">
        <f>CONCATENATE(SUM($R$6:$R338)," / ",SUM($R$6:$R$370))</f>
        <v>0 / 0</v>
      </c>
    </row>
    <row r="339" spans="2:21" ht="13" thickBot="1">
      <c r="B339" s="28"/>
      <c r="C339" s="237">
        <f t="shared" si="35"/>
        <v>42703</v>
      </c>
      <c r="D339" s="35" t="str">
        <f t="shared" si="31"/>
        <v>Mardi</v>
      </c>
      <c r="E339" s="124">
        <f t="shared" si="32"/>
        <v>49</v>
      </c>
      <c r="F339" s="124">
        <f t="shared" si="33"/>
        <v>11</v>
      </c>
      <c r="G339" s="27"/>
      <c r="H339" s="28" t="str">
        <f>CONCATENATE(SUMIF($E$6:$E339,$E339,$K$6:$K$370)," / ",SUMIF($E$6:$E$370,$E339,$K$6:$K703))</f>
        <v>0 / 0</v>
      </c>
      <c r="I339" s="28" t="str">
        <f>CONCATENATE(SUMIF($F$6:$F339,$F339,$K$6:$K703)," / ",SUMIF($F$6:$F$370,$F339,$K$6:$K703))</f>
        <v>0 / 0</v>
      </c>
      <c r="J339" s="28" t="str">
        <f>CONCATENATE(SUM($K$6:$K339)," / ",SUM($K$6:$K$370))</f>
        <v>180,895 / 180,895</v>
      </c>
      <c r="K339" s="245">
        <v>0</v>
      </c>
      <c r="L339" s="28"/>
      <c r="M339" s="28" t="str">
        <f>CONCATENATE(SUMIF($E$6:$E339,$E339,$P$6:$P$370)," / ",SUMIF($E$6:$E$370,$E339,$P$6:$P$370))</f>
        <v>0 / 0</v>
      </c>
      <c r="N339" s="28" t="str">
        <f ca="1">CONCATENATE(SUMIF($F$6:$F339,$F339,$P339)," / ",SUMIF($F$6:$F$370,$F339,$P$6:$P$370))</f>
        <v>0 / 0</v>
      </c>
      <c r="O339" s="28" t="str">
        <f t="shared" si="34"/>
        <v>0 / 30</v>
      </c>
      <c r="P339" s="245">
        <v>0</v>
      </c>
      <c r="Q339" s="28"/>
      <c r="R339" s="246">
        <v>0</v>
      </c>
      <c r="S339" s="28" t="str">
        <f>CONCATENATE(SUMIF($E$6:$E339,E339,$R$6:$R$370)," / ",SUMIF($E$6:$E$370,E339,$R$6:$R$370))</f>
        <v>0 / 0</v>
      </c>
      <c r="T339" s="28" t="str">
        <f>CONCATENATE(SUMIF($F$6:$F339,$F339,$R$6:$R$370)," / ",SUMIF($F$6:$F$370,$F339,$R$6:$R$370))</f>
        <v>0 / 0</v>
      </c>
      <c r="U339" s="28" t="str">
        <f>CONCATENATE(SUM($R$6:$R339)," / ",SUM($R$6:$R$370))</f>
        <v>0 / 0</v>
      </c>
    </row>
    <row r="340" spans="2:21" ht="13" thickBot="1">
      <c r="B340" s="28"/>
      <c r="C340" s="237">
        <f t="shared" si="35"/>
        <v>42704</v>
      </c>
      <c r="D340" s="35" t="str">
        <f t="shared" si="31"/>
        <v>Mercredi</v>
      </c>
      <c r="E340" s="124">
        <f t="shared" si="32"/>
        <v>49</v>
      </c>
      <c r="F340" s="124">
        <f t="shared" si="33"/>
        <v>11</v>
      </c>
      <c r="G340" s="27"/>
      <c r="H340" s="28" t="str">
        <f>CONCATENATE(SUMIF($E$6:$E340,$E340,$K$6:$K$370)," / ",SUMIF($E$6:$E$370,$E340,$K$6:$K704))</f>
        <v>0 / 0</v>
      </c>
      <c r="I340" s="28" t="str">
        <f>CONCATENATE(SUMIF($F$6:$F340,$F340,$K$6:$K704)," / ",SUMIF($F$6:$F$370,$F340,$K$6:$K704))</f>
        <v>0 / 0</v>
      </c>
      <c r="J340" s="28" t="str">
        <f>CONCATENATE(SUM($K$6:$K340)," / ",SUM($K$6:$K$370))</f>
        <v>180,895 / 180,895</v>
      </c>
      <c r="K340" s="245">
        <v>0</v>
      </c>
      <c r="L340" s="28"/>
      <c r="M340" s="28" t="str">
        <f>CONCATENATE(SUMIF($E$6:$E340,$E340,$P$6:$P$370)," / ",SUMIF($E$6:$E$370,$E340,$P$6:$P$370))</f>
        <v>0 / 0</v>
      </c>
      <c r="N340" s="28" t="str">
        <f ca="1">CONCATENATE(SUMIF($F$6:$F340,$F340,$P340)," / ",SUMIF($F$6:$F$370,$F340,$P$6:$P$370))</f>
        <v>0 / 0</v>
      </c>
      <c r="O340" s="28" t="str">
        <f t="shared" si="34"/>
        <v>0 / 30</v>
      </c>
      <c r="P340" s="245">
        <v>0</v>
      </c>
      <c r="Q340" s="28"/>
      <c r="R340" s="246">
        <v>0</v>
      </c>
      <c r="S340" s="28" t="str">
        <f>CONCATENATE(SUMIF($E$6:$E340,E340,$R$6:$R$370)," / ",SUMIF($E$6:$E$370,E340,$R$6:$R$370))</f>
        <v>0 / 0</v>
      </c>
      <c r="T340" s="28" t="str">
        <f>CONCATENATE(SUMIF($F$6:$F340,$F340,$R$6:$R$370)," / ",SUMIF($F$6:$F$370,$F340,$R$6:$R$370))</f>
        <v>0 / 0</v>
      </c>
      <c r="U340" s="28" t="str">
        <f>CONCATENATE(SUM($R$6:$R340)," / ",SUM($R$6:$R$370))</f>
        <v>0 / 0</v>
      </c>
    </row>
    <row r="341" spans="2:21" ht="13" thickBot="1">
      <c r="B341" s="28"/>
      <c r="C341" s="237">
        <f t="shared" si="35"/>
        <v>42705</v>
      </c>
      <c r="D341" s="35" t="str">
        <f t="shared" si="31"/>
        <v>Jeudi</v>
      </c>
      <c r="E341" s="124">
        <f t="shared" si="32"/>
        <v>49</v>
      </c>
      <c r="F341" s="124">
        <f t="shared" si="33"/>
        <v>12</v>
      </c>
      <c r="G341" s="27"/>
      <c r="H341" s="28" t="str">
        <f>CONCATENATE(SUMIF($E$6:$E341,$E341,$K$6:$K$370)," / ",SUMIF($E$6:$E$370,$E341,$K$6:$K705))</f>
        <v>0 / 0</v>
      </c>
      <c r="I341" s="28" t="str">
        <f>CONCATENATE(SUMIF($F$6:$F341,$F341,$K$6:$K705)," / ",SUMIF($F$6:$F$370,$F341,$K$6:$K705))</f>
        <v>0 / 0</v>
      </c>
      <c r="J341" s="28" t="str">
        <f>CONCATENATE(SUM($K$6:$K341)," / ",SUM($K$6:$K$370))</f>
        <v>180,895 / 180,895</v>
      </c>
      <c r="K341" s="245">
        <v>0</v>
      </c>
      <c r="L341" s="28"/>
      <c r="M341" s="28" t="str">
        <f>CONCATENATE(SUMIF($E$6:$E341,$E341,$P$6:$P$370)," / ",SUMIF($E$6:$E$370,$E341,$P$6:$P$370))</f>
        <v>0 / 0</v>
      </c>
      <c r="N341" s="28" t="str">
        <f ca="1">CONCATENATE(SUMIF($F$6:$F341,$F341,$P341)," / ",SUMIF($F$6:$F$370,$F341,$P$6:$P$370))</f>
        <v>0 / 0</v>
      </c>
      <c r="O341" s="28" t="str">
        <f t="shared" si="34"/>
        <v>0 / 30</v>
      </c>
      <c r="P341" s="245">
        <v>0</v>
      </c>
      <c r="Q341" s="28"/>
      <c r="R341" s="246">
        <v>0</v>
      </c>
      <c r="S341" s="28" t="str">
        <f>CONCATENATE(SUMIF($E$6:$E341,E341,$R$6:$R$370)," / ",SUMIF($E$6:$E$370,E341,$R$6:$R$370))</f>
        <v>0 / 0</v>
      </c>
      <c r="T341" s="28" t="str">
        <f>CONCATENATE(SUMIF($F$6:$F341,$F341,$R$6:$R$370)," / ",SUMIF($F$6:$F$370,$F341,$R$6:$R$370))</f>
        <v>0 / 0</v>
      </c>
      <c r="U341" s="28" t="str">
        <f>CONCATENATE(SUM($R$6:$R341)," / ",SUM($R$6:$R$370))</f>
        <v>0 / 0</v>
      </c>
    </row>
    <row r="342" spans="2:21" ht="13" thickBot="1">
      <c r="B342" s="28"/>
      <c r="C342" s="237">
        <f t="shared" si="35"/>
        <v>42706</v>
      </c>
      <c r="D342" s="35" t="str">
        <f t="shared" si="31"/>
        <v>Vendredi</v>
      </c>
      <c r="E342" s="124">
        <f t="shared" si="32"/>
        <v>49</v>
      </c>
      <c r="F342" s="124">
        <f t="shared" si="33"/>
        <v>12</v>
      </c>
      <c r="G342" s="27"/>
      <c r="H342" s="28" t="str">
        <f>CONCATENATE(SUMIF($E$6:$E342,$E342,$K$6:$K$370)," / ",SUMIF($E$6:$E$370,$E342,$K$6:$K706))</f>
        <v>0 / 0</v>
      </c>
      <c r="I342" s="28" t="str">
        <f>CONCATENATE(SUMIF($F$6:$F342,$F342,$K$6:$K706)," / ",SUMIF($F$6:$F$370,$F342,$K$6:$K706))</f>
        <v>0 / 0</v>
      </c>
      <c r="J342" s="28" t="str">
        <f>CONCATENATE(SUM($K$6:$K342)," / ",SUM($K$6:$K$370))</f>
        <v>180,895 / 180,895</v>
      </c>
      <c r="K342" s="245">
        <v>0</v>
      </c>
      <c r="L342" s="28"/>
      <c r="M342" s="28" t="str">
        <f>CONCATENATE(SUMIF($E$6:$E342,$E342,$P$6:$P$370)," / ",SUMIF($E$6:$E$370,$E342,$P$6:$P$370))</f>
        <v>0 / 0</v>
      </c>
      <c r="N342" s="28" t="str">
        <f ca="1">CONCATENATE(SUMIF($F$6:$F342,$F342,$P342)," / ",SUMIF($F$6:$F$370,$F342,$P$6:$P$370))</f>
        <v>0 / 0</v>
      </c>
      <c r="O342" s="28" t="str">
        <f t="shared" si="34"/>
        <v>0 / 30</v>
      </c>
      <c r="P342" s="245">
        <v>0</v>
      </c>
      <c r="Q342" s="28"/>
      <c r="R342" s="246">
        <v>0</v>
      </c>
      <c r="S342" s="28" t="str">
        <f>CONCATENATE(SUMIF($E$6:$E342,E342,$R$6:$R$370)," / ",SUMIF($E$6:$E$370,E342,$R$6:$R$370))</f>
        <v>0 / 0</v>
      </c>
      <c r="T342" s="28" t="str">
        <f>CONCATENATE(SUMIF($F$6:$F342,$F342,$R$6:$R$370)," / ",SUMIF($F$6:$F$370,$F342,$R$6:$R$370))</f>
        <v>0 / 0</v>
      </c>
      <c r="U342" s="28" t="str">
        <f>CONCATENATE(SUM($R$6:$R342)," / ",SUM($R$6:$R$370))</f>
        <v>0 / 0</v>
      </c>
    </row>
    <row r="343" spans="2:21" ht="13" thickBot="1">
      <c r="B343" s="28"/>
      <c r="C343" s="237">
        <f t="shared" si="35"/>
        <v>42707</v>
      </c>
      <c r="D343" s="35" t="str">
        <f t="shared" si="31"/>
        <v>samedi</v>
      </c>
      <c r="E343" s="124">
        <f t="shared" si="32"/>
        <v>49</v>
      </c>
      <c r="F343" s="124">
        <f t="shared" si="33"/>
        <v>12</v>
      </c>
      <c r="G343" s="27"/>
      <c r="H343" s="28" t="str">
        <f>CONCATENATE(SUMIF($E$6:$E343,$E343,$K$6:$K$370)," / ",SUMIF($E$6:$E$370,$E343,$K$6:$K707))</f>
        <v>0 / 0</v>
      </c>
      <c r="I343" s="28" t="str">
        <f>CONCATENATE(SUMIF($F$6:$F343,$F343,$K$6:$K707)," / ",SUMIF($F$6:$F$370,$F343,$K$6:$K707))</f>
        <v>0 / 0</v>
      </c>
      <c r="J343" s="28" t="str">
        <f>CONCATENATE(SUM($K$6:$K343)," / ",SUM($K$6:$K$370))</f>
        <v>180,895 / 180,895</v>
      </c>
      <c r="K343" s="245">
        <v>0</v>
      </c>
      <c r="L343" s="28"/>
      <c r="M343" s="28" t="str">
        <f>CONCATENATE(SUMIF($E$6:$E343,$E343,$P$6:$P$370)," / ",SUMIF($E$6:$E$370,$E343,$P$6:$P$370))</f>
        <v>0 / 0</v>
      </c>
      <c r="N343" s="28" t="str">
        <f ca="1">CONCATENATE(SUMIF($F$6:$F343,$F343,$P343)," / ",SUMIF($F$6:$F$370,$F343,$P$6:$P$370))</f>
        <v>0 / 0</v>
      </c>
      <c r="O343" s="28" t="str">
        <f t="shared" si="34"/>
        <v>0 / 30</v>
      </c>
      <c r="P343" s="245">
        <v>0</v>
      </c>
      <c r="Q343" s="28"/>
      <c r="R343" s="246">
        <v>0</v>
      </c>
      <c r="S343" s="28" t="str">
        <f>CONCATENATE(SUMIF($E$6:$E343,E343,$R$6:$R$370)," / ",SUMIF($E$6:$E$370,E343,$R$6:$R$370))</f>
        <v>0 / 0</v>
      </c>
      <c r="T343" s="28" t="str">
        <f>CONCATENATE(SUMIF($F$6:$F343,$F343,$R$6:$R$370)," / ",SUMIF($F$6:$F$370,$F343,$R$6:$R$370))</f>
        <v>0 / 0</v>
      </c>
      <c r="U343" s="28" t="str">
        <f>CONCATENATE(SUM($R$6:$R343)," / ",SUM($R$6:$R$370))</f>
        <v>0 / 0</v>
      </c>
    </row>
    <row r="344" spans="2:21" ht="13" thickBot="1">
      <c r="B344" s="28"/>
      <c r="C344" s="237">
        <f t="shared" si="35"/>
        <v>42708</v>
      </c>
      <c r="D344" s="35" t="str">
        <f t="shared" si="31"/>
        <v>Dimanche</v>
      </c>
      <c r="E344" s="124">
        <f t="shared" si="32"/>
        <v>50</v>
      </c>
      <c r="F344" s="124">
        <f t="shared" si="33"/>
        <v>12</v>
      </c>
      <c r="G344" s="27"/>
      <c r="H344" s="28" t="str">
        <f>CONCATENATE(SUMIF($E$6:$E344,$E344,$K$6:$K$370)," / ",SUMIF($E$6:$E$370,$E344,$K$6:$K708))</f>
        <v>0 / 0</v>
      </c>
      <c r="I344" s="28" t="str">
        <f>CONCATENATE(SUMIF($F$6:$F344,$F344,$K$6:$K708)," / ",SUMIF($F$6:$F$370,$F344,$K$6:$K708))</f>
        <v>0 / 0</v>
      </c>
      <c r="J344" s="28" t="str">
        <f>CONCATENATE(SUM($K$6:$K344)," / ",SUM($K$6:$K$370))</f>
        <v>180,895 / 180,895</v>
      </c>
      <c r="K344" s="245">
        <v>0</v>
      </c>
      <c r="L344" s="28"/>
      <c r="M344" s="28" t="str">
        <f>CONCATENATE(SUMIF($E$6:$E344,$E344,$P$6:$P$370)," / ",SUMIF($E$6:$E$370,$E344,$P$6:$P$370))</f>
        <v>0 / 0</v>
      </c>
      <c r="N344" s="28" t="str">
        <f ca="1">CONCATENATE(SUMIF($F$6:$F344,$F344,$P344)," / ",SUMIF($F$6:$F$370,$F344,$P$6:$P$370))</f>
        <v>0 / 0</v>
      </c>
      <c r="O344" s="28" t="str">
        <f t="shared" si="34"/>
        <v>0 / 30</v>
      </c>
      <c r="P344" s="245">
        <v>0</v>
      </c>
      <c r="Q344" s="28"/>
      <c r="R344" s="246">
        <v>0</v>
      </c>
      <c r="S344" s="28" t="str">
        <f>CONCATENATE(SUMIF($E$6:$E344,E344,$R$6:$R$370)," / ",SUMIF($E$6:$E$370,E344,$R$6:$R$370))</f>
        <v>0 / 0</v>
      </c>
      <c r="T344" s="28" t="str">
        <f>CONCATENATE(SUMIF($F$6:$F344,$F344,$R$6:$R$370)," / ",SUMIF($F$6:$F$370,$F344,$R$6:$R$370))</f>
        <v>0 / 0</v>
      </c>
      <c r="U344" s="28" t="str">
        <f>CONCATENATE(SUM($R$6:$R344)," / ",SUM($R$6:$R$370))</f>
        <v>0 / 0</v>
      </c>
    </row>
    <row r="345" spans="2:21" ht="13" thickBot="1">
      <c r="B345" s="28"/>
      <c r="C345" s="237">
        <f t="shared" si="35"/>
        <v>42709</v>
      </c>
      <c r="D345" s="35" t="str">
        <f t="shared" si="31"/>
        <v>Lundi</v>
      </c>
      <c r="E345" s="124">
        <f t="shared" si="32"/>
        <v>50</v>
      </c>
      <c r="F345" s="124">
        <f t="shared" si="33"/>
        <v>12</v>
      </c>
      <c r="G345" s="27"/>
      <c r="H345" s="28" t="str">
        <f>CONCATENATE(SUMIF($E$6:$E345,$E345,$K$6:$K$370)," / ",SUMIF($E$6:$E$370,$E345,$K$6:$K709))</f>
        <v>0 / 0</v>
      </c>
      <c r="I345" s="28" t="str">
        <f>CONCATENATE(SUMIF($F$6:$F345,$F345,$K$6:$K709)," / ",SUMIF($F$6:$F$370,$F345,$K$6:$K709))</f>
        <v>0 / 0</v>
      </c>
      <c r="J345" s="28" t="str">
        <f>CONCATENATE(SUM($K$6:$K345)," / ",SUM($K$6:$K$370))</f>
        <v>180,895 / 180,895</v>
      </c>
      <c r="K345" s="245">
        <v>0</v>
      </c>
      <c r="L345" s="28"/>
      <c r="M345" s="28" t="str">
        <f>CONCATENATE(SUMIF($E$6:$E345,$E345,$P$6:$P$370)," / ",SUMIF($E$6:$E$370,$E345,$P$6:$P$370))</f>
        <v>0 / 0</v>
      </c>
      <c r="N345" s="28" t="str">
        <f ca="1">CONCATENATE(SUMIF($F$6:$F345,$F345,$P345)," / ",SUMIF($F$6:$F$370,$F345,$P$6:$P$370))</f>
        <v>0 / 0</v>
      </c>
      <c r="O345" s="28" t="str">
        <f t="shared" si="34"/>
        <v>0 / 30</v>
      </c>
      <c r="P345" s="245">
        <v>0</v>
      </c>
      <c r="Q345" s="28"/>
      <c r="R345" s="246">
        <v>0</v>
      </c>
      <c r="S345" s="28" t="str">
        <f>CONCATENATE(SUMIF($E$6:$E345,E345,$R$6:$R$370)," / ",SUMIF($E$6:$E$370,E345,$R$6:$R$370))</f>
        <v>0 / 0</v>
      </c>
      <c r="T345" s="28" t="str">
        <f>CONCATENATE(SUMIF($F$6:$F345,$F345,$R$6:$R$370)," / ",SUMIF($F$6:$F$370,$F345,$R$6:$R$370))</f>
        <v>0 / 0</v>
      </c>
      <c r="U345" s="28" t="str">
        <f>CONCATENATE(SUM($R$6:$R345)," / ",SUM($R$6:$R$370))</f>
        <v>0 / 0</v>
      </c>
    </row>
    <row r="346" spans="2:21" ht="13" thickBot="1">
      <c r="B346" s="28"/>
      <c r="C346" s="237">
        <f t="shared" si="35"/>
        <v>42710</v>
      </c>
      <c r="D346" s="35" t="str">
        <f t="shared" si="31"/>
        <v>Mardi</v>
      </c>
      <c r="E346" s="124">
        <f t="shared" si="32"/>
        <v>50</v>
      </c>
      <c r="F346" s="124">
        <f t="shared" si="33"/>
        <v>12</v>
      </c>
      <c r="G346" s="27"/>
      <c r="H346" s="28" t="str">
        <f>CONCATENATE(SUMIF($E$6:$E346,$E346,$K$6:$K$370)," / ",SUMIF($E$6:$E$370,$E346,$K$6:$K710))</f>
        <v>0 / 0</v>
      </c>
      <c r="I346" s="28" t="str">
        <f>CONCATENATE(SUMIF($F$6:$F346,$F346,$K$6:$K710)," / ",SUMIF($F$6:$F$370,$F346,$K$6:$K710))</f>
        <v>0 / 0</v>
      </c>
      <c r="J346" s="28" t="str">
        <f>CONCATENATE(SUM($K$6:$K346)," / ",SUM($K$6:$K$370))</f>
        <v>180,895 / 180,895</v>
      </c>
      <c r="K346" s="245">
        <v>0</v>
      </c>
      <c r="L346" s="28"/>
      <c r="M346" s="28" t="str">
        <f>CONCATENATE(SUMIF($E$6:$E346,$E346,$P$6:$P$370)," / ",SUMIF($E$6:$E$370,$E346,$P$6:$P$370))</f>
        <v>0 / 0</v>
      </c>
      <c r="N346" s="28" t="str">
        <f ca="1">CONCATENATE(SUMIF($F$6:$F346,$F346,$P346)," / ",SUMIF($F$6:$F$370,$F346,$P$6:$P$370))</f>
        <v>0 / 0</v>
      </c>
      <c r="O346" s="28" t="str">
        <f t="shared" si="34"/>
        <v>0 / 30</v>
      </c>
      <c r="P346" s="245">
        <v>0</v>
      </c>
      <c r="Q346" s="28"/>
      <c r="R346" s="246">
        <v>0</v>
      </c>
      <c r="S346" s="28" t="str">
        <f>CONCATENATE(SUMIF($E$6:$E346,E346,$R$6:$R$370)," / ",SUMIF($E$6:$E$370,E346,$R$6:$R$370))</f>
        <v>0 / 0</v>
      </c>
      <c r="T346" s="28" t="str">
        <f>CONCATENATE(SUMIF($F$6:$F346,$F346,$R$6:$R$370)," / ",SUMIF($F$6:$F$370,$F346,$R$6:$R$370))</f>
        <v>0 / 0</v>
      </c>
      <c r="U346" s="28" t="str">
        <f>CONCATENATE(SUM($R$6:$R346)," / ",SUM($R$6:$R$370))</f>
        <v>0 / 0</v>
      </c>
    </row>
    <row r="347" spans="2:21" ht="13" thickBot="1">
      <c r="B347" s="28"/>
      <c r="C347" s="237">
        <f t="shared" si="35"/>
        <v>42711</v>
      </c>
      <c r="D347" s="35" t="str">
        <f t="shared" si="31"/>
        <v>Mercredi</v>
      </c>
      <c r="E347" s="124">
        <f t="shared" si="32"/>
        <v>50</v>
      </c>
      <c r="F347" s="124">
        <f t="shared" si="33"/>
        <v>12</v>
      </c>
      <c r="G347" s="27"/>
      <c r="H347" s="28" t="str">
        <f>CONCATENATE(SUMIF($E$6:$E347,$E347,$K$6:$K$370)," / ",SUMIF($E$6:$E$370,$E347,$K$6:$K711))</f>
        <v>0 / 0</v>
      </c>
      <c r="I347" s="28" t="str">
        <f>CONCATENATE(SUMIF($F$6:$F347,$F347,$K$6:$K711)," / ",SUMIF($F$6:$F$370,$F347,$K$6:$K711))</f>
        <v>0 / 0</v>
      </c>
      <c r="J347" s="28" t="str">
        <f>CONCATENATE(SUM($K$6:$K347)," / ",SUM($K$6:$K$370))</f>
        <v>180,895 / 180,895</v>
      </c>
      <c r="K347" s="245">
        <v>0</v>
      </c>
      <c r="L347" s="28"/>
      <c r="M347" s="28" t="str">
        <f>CONCATENATE(SUMIF($E$6:$E347,$E347,$P$6:$P$370)," / ",SUMIF($E$6:$E$370,$E347,$P$6:$P$370))</f>
        <v>0 / 0</v>
      </c>
      <c r="N347" s="28" t="str">
        <f ca="1">CONCATENATE(SUMIF($F$6:$F347,$F347,$P347)," / ",SUMIF($F$6:$F$370,$F347,$P$6:$P$370))</f>
        <v>0 / 0</v>
      </c>
      <c r="O347" s="28" t="str">
        <f t="shared" si="34"/>
        <v>0 / 30</v>
      </c>
      <c r="P347" s="245">
        <v>0</v>
      </c>
      <c r="Q347" s="28"/>
      <c r="R347" s="246">
        <v>0</v>
      </c>
      <c r="S347" s="28" t="str">
        <f>CONCATENATE(SUMIF($E$6:$E347,E347,$R$6:$R$370)," / ",SUMIF($E$6:$E$370,E347,$R$6:$R$370))</f>
        <v>0 / 0</v>
      </c>
      <c r="T347" s="28" t="str">
        <f>CONCATENATE(SUMIF($F$6:$F347,$F347,$R$6:$R$370)," / ",SUMIF($F$6:$F$370,$F347,$R$6:$R$370))</f>
        <v>0 / 0</v>
      </c>
      <c r="U347" s="28" t="str">
        <f>CONCATENATE(SUM($R$6:$R347)," / ",SUM($R$6:$R$370))</f>
        <v>0 / 0</v>
      </c>
    </row>
    <row r="348" spans="2:21" ht="13" thickBot="1">
      <c r="B348" s="28"/>
      <c r="C348" s="237">
        <f t="shared" si="35"/>
        <v>42712</v>
      </c>
      <c r="D348" s="35" t="str">
        <f t="shared" si="31"/>
        <v>Jeudi</v>
      </c>
      <c r="E348" s="124">
        <f t="shared" si="32"/>
        <v>50</v>
      </c>
      <c r="F348" s="124">
        <f t="shared" si="33"/>
        <v>12</v>
      </c>
      <c r="G348" s="27"/>
      <c r="H348" s="28" t="str">
        <f>CONCATENATE(SUMIF($E$6:$E348,$E348,$K$6:$K$370)," / ",SUMIF($E$6:$E$370,$E348,$K$6:$K712))</f>
        <v>0 / 0</v>
      </c>
      <c r="I348" s="28" t="str">
        <f>CONCATENATE(SUMIF($F$6:$F348,$F348,$K$6:$K712)," / ",SUMIF($F$6:$F$370,$F348,$K$6:$K712))</f>
        <v>0 / 0</v>
      </c>
      <c r="J348" s="28" t="str">
        <f>CONCATENATE(SUM($K$6:$K348)," / ",SUM($K$6:$K$370))</f>
        <v>180,895 / 180,895</v>
      </c>
      <c r="K348" s="245">
        <v>0</v>
      </c>
      <c r="L348" s="28"/>
      <c r="M348" s="28" t="str">
        <f>CONCATENATE(SUMIF($E$6:$E348,$E348,$P$6:$P$370)," / ",SUMIF($E$6:$E$370,$E348,$P$6:$P$370))</f>
        <v>0 / 0</v>
      </c>
      <c r="N348" s="28" t="str">
        <f ca="1">CONCATENATE(SUMIF($F$6:$F348,$F348,$P348)," / ",SUMIF($F$6:$F$370,$F348,$P$6:$P$370))</f>
        <v>0 / 0</v>
      </c>
      <c r="O348" s="28" t="str">
        <f t="shared" si="34"/>
        <v>0 / 30</v>
      </c>
      <c r="P348" s="245">
        <v>0</v>
      </c>
      <c r="Q348" s="28"/>
      <c r="R348" s="246">
        <v>0</v>
      </c>
      <c r="S348" s="28" t="str">
        <f>CONCATENATE(SUMIF($E$6:$E348,E348,$R$6:$R$370)," / ",SUMIF($E$6:$E$370,E348,$R$6:$R$370))</f>
        <v>0 / 0</v>
      </c>
      <c r="T348" s="28" t="str">
        <f>CONCATENATE(SUMIF($F$6:$F348,$F348,$R$6:$R$370)," / ",SUMIF($F$6:$F$370,$F348,$R$6:$R$370))</f>
        <v>0 / 0</v>
      </c>
      <c r="U348" s="28" t="str">
        <f>CONCATENATE(SUM($R$6:$R348)," / ",SUM($R$6:$R$370))</f>
        <v>0 / 0</v>
      </c>
    </row>
    <row r="349" spans="2:21" ht="13" thickBot="1">
      <c r="B349" s="28"/>
      <c r="C349" s="237">
        <f t="shared" si="35"/>
        <v>42713</v>
      </c>
      <c r="D349" s="35" t="str">
        <f t="shared" si="31"/>
        <v>Vendredi</v>
      </c>
      <c r="E349" s="124">
        <f t="shared" si="32"/>
        <v>50</v>
      </c>
      <c r="F349" s="124">
        <f t="shared" si="33"/>
        <v>12</v>
      </c>
      <c r="G349" s="27"/>
      <c r="H349" s="28" t="str">
        <f>CONCATENATE(SUMIF($E$6:$E349,$E349,$K$6:$K$370)," / ",SUMIF($E$6:$E$370,$E349,$K$6:$K713))</f>
        <v>0 / 0</v>
      </c>
      <c r="I349" s="28" t="str">
        <f>CONCATENATE(SUMIF($F$6:$F349,$F349,$K$6:$K713)," / ",SUMIF($F$6:$F$370,$F349,$K$6:$K713))</f>
        <v>0 / 0</v>
      </c>
      <c r="J349" s="28" t="str">
        <f>CONCATENATE(SUM($K$6:$K349)," / ",SUM($K$6:$K$370))</f>
        <v>180,895 / 180,895</v>
      </c>
      <c r="K349" s="245">
        <v>0</v>
      </c>
      <c r="L349" s="28"/>
      <c r="M349" s="28" t="str">
        <f>CONCATENATE(SUMIF($E$6:$E349,$E349,$P$6:$P$370)," / ",SUMIF($E$6:$E$370,$E349,$P$6:$P$370))</f>
        <v>0 / 0</v>
      </c>
      <c r="N349" s="28" t="str">
        <f ca="1">CONCATENATE(SUMIF($F$6:$F349,$F349,$P349)," / ",SUMIF($F$6:$F$370,$F349,$P$6:$P$370))</f>
        <v>0 / 0</v>
      </c>
      <c r="O349" s="28" t="str">
        <f t="shared" si="34"/>
        <v>0 / 30</v>
      </c>
      <c r="P349" s="245">
        <v>0</v>
      </c>
      <c r="Q349" s="28"/>
      <c r="R349" s="246">
        <v>0</v>
      </c>
      <c r="S349" s="28" t="str">
        <f>CONCATENATE(SUMIF($E$6:$E349,E349,$R$6:$R$370)," / ",SUMIF($E$6:$E$370,E349,$R$6:$R$370))</f>
        <v>0 / 0</v>
      </c>
      <c r="T349" s="28" t="str">
        <f>CONCATENATE(SUMIF($F$6:$F349,$F349,$R$6:$R$370)," / ",SUMIF($F$6:$F$370,$F349,$R$6:$R$370))</f>
        <v>0 / 0</v>
      </c>
      <c r="U349" s="28" t="str">
        <f>CONCATENATE(SUM($R$6:$R349)," / ",SUM($R$6:$R$370))</f>
        <v>0 / 0</v>
      </c>
    </row>
    <row r="350" spans="2:21" ht="13" thickBot="1">
      <c r="B350" s="28"/>
      <c r="C350" s="237">
        <f t="shared" si="35"/>
        <v>42714</v>
      </c>
      <c r="D350" s="35" t="str">
        <f t="shared" si="31"/>
        <v>samedi</v>
      </c>
      <c r="E350" s="124">
        <f t="shared" si="32"/>
        <v>50</v>
      </c>
      <c r="F350" s="124">
        <f t="shared" si="33"/>
        <v>12</v>
      </c>
      <c r="G350" s="27"/>
      <c r="H350" s="28" t="str">
        <f>CONCATENATE(SUMIF($E$6:$E350,$E350,$K$6:$K$370)," / ",SUMIF($E$6:$E$370,$E350,$K$6:$K714))</f>
        <v>0 / 0</v>
      </c>
      <c r="I350" s="28" t="str">
        <f>CONCATENATE(SUMIF($F$6:$F350,$F350,$K$6:$K714)," / ",SUMIF($F$6:$F$370,$F350,$K$6:$K714))</f>
        <v>0 / 0</v>
      </c>
      <c r="J350" s="28" t="str">
        <f>CONCATENATE(SUM($K$6:$K350)," / ",SUM($K$6:$K$370))</f>
        <v>180,895 / 180,895</v>
      </c>
      <c r="K350" s="245">
        <v>0</v>
      </c>
      <c r="L350" s="28"/>
      <c r="M350" s="28" t="str">
        <f>CONCATENATE(SUMIF($E$6:$E350,$E350,$P$6:$P$370)," / ",SUMIF($E$6:$E$370,$E350,$P$6:$P$370))</f>
        <v>0 / 0</v>
      </c>
      <c r="N350" s="28" t="str">
        <f ca="1">CONCATENATE(SUMIF($F$6:$F350,$F350,$P350)," / ",SUMIF($F$6:$F$370,$F350,$P$6:$P$370))</f>
        <v>0 / 0</v>
      </c>
      <c r="O350" s="28" t="str">
        <f t="shared" si="34"/>
        <v>0 / 30</v>
      </c>
      <c r="P350" s="245">
        <v>0</v>
      </c>
      <c r="Q350" s="28"/>
      <c r="R350" s="246">
        <v>0</v>
      </c>
      <c r="S350" s="28" t="str">
        <f>CONCATENATE(SUMIF($E$6:$E350,E350,$R$6:$R$370)," / ",SUMIF($E$6:$E$370,E350,$R$6:$R$370))</f>
        <v>0 / 0</v>
      </c>
      <c r="T350" s="28" t="str">
        <f>CONCATENATE(SUMIF($F$6:$F350,$F350,$R$6:$R$370)," / ",SUMIF($F$6:$F$370,$F350,$R$6:$R$370))</f>
        <v>0 / 0</v>
      </c>
      <c r="U350" s="28" t="str">
        <f>CONCATENATE(SUM($R$6:$R350)," / ",SUM($R$6:$R$370))</f>
        <v>0 / 0</v>
      </c>
    </row>
    <row r="351" spans="2:21" ht="13" thickBot="1">
      <c r="B351" s="28"/>
      <c r="C351" s="237">
        <f t="shared" si="35"/>
        <v>42715</v>
      </c>
      <c r="D351" s="35" t="str">
        <f t="shared" si="31"/>
        <v>Dimanche</v>
      </c>
      <c r="E351" s="124">
        <f t="shared" si="32"/>
        <v>51</v>
      </c>
      <c r="F351" s="124">
        <f t="shared" si="33"/>
        <v>12</v>
      </c>
      <c r="G351" s="27"/>
      <c r="H351" s="28" t="str">
        <f>CONCATENATE(SUMIF($E$6:$E351,$E351,$K$6:$K$370)," / ",SUMIF($E$6:$E$370,$E351,$K$6:$K715))</f>
        <v>0 / 0</v>
      </c>
      <c r="I351" s="28" t="str">
        <f>CONCATENATE(SUMIF($F$6:$F351,$F351,$K$6:$K715)," / ",SUMIF($F$6:$F$370,$F351,$K$6:$K715))</f>
        <v>0 / 0</v>
      </c>
      <c r="J351" s="28" t="str">
        <f>CONCATENATE(SUM($K$6:$K351)," / ",SUM($K$6:$K$370))</f>
        <v>180,895 / 180,895</v>
      </c>
      <c r="K351" s="245">
        <v>0</v>
      </c>
      <c r="L351" s="28"/>
      <c r="M351" s="28" t="str">
        <f>CONCATENATE(SUMIF($E$6:$E351,$E351,$P$6:$P$370)," / ",SUMIF($E$6:$E$370,$E351,$P$6:$P$370))</f>
        <v>0 / 0</v>
      </c>
      <c r="N351" s="28" t="str">
        <f ca="1">CONCATENATE(SUMIF($F$6:$F351,$F351,$P351)," / ",SUMIF($F$6:$F$370,$F351,$P$6:$P$370))</f>
        <v>0 / 0</v>
      </c>
      <c r="O351" s="28" t="str">
        <f t="shared" si="34"/>
        <v>0 / 30</v>
      </c>
      <c r="P351" s="245">
        <v>0</v>
      </c>
      <c r="Q351" s="28"/>
      <c r="R351" s="246">
        <v>0</v>
      </c>
      <c r="S351" s="28" t="str">
        <f>CONCATENATE(SUMIF($E$6:$E351,E351,$R$6:$R$370)," / ",SUMIF($E$6:$E$370,E351,$R$6:$R$370))</f>
        <v>0 / 0</v>
      </c>
      <c r="T351" s="28" t="str">
        <f>CONCATENATE(SUMIF($F$6:$F351,$F351,$R$6:$R$370)," / ",SUMIF($F$6:$F$370,$F351,$R$6:$R$370))</f>
        <v>0 / 0</v>
      </c>
      <c r="U351" s="28" t="str">
        <f>CONCATENATE(SUM($R$6:$R351)," / ",SUM($R$6:$R$370))</f>
        <v>0 / 0</v>
      </c>
    </row>
    <row r="352" spans="2:21" ht="13" thickBot="1">
      <c r="B352" s="28"/>
      <c r="C352" s="237">
        <f t="shared" si="35"/>
        <v>42716</v>
      </c>
      <c r="D352" s="35" t="str">
        <f t="shared" ref="D352:D370" si="36">IF(EXACT(WEEKDAY(C352),1),"Dimanche",IF(EXACT(WEEKDAY(C352),2),"Lundi",IF(EXACT(WEEKDAY(C352),3),"Mardi",IF(EXACT(WEEKDAY(C352),4),"Mercredi",IF(EXACT(WEEKDAY(C352),5),"Jeudi",IF(EXACT(WEEKDAY(C352),6),"Vendredi",IF(EXACT(WEEKDAY(C352),7),"samedi","Erreur de date")))))))</f>
        <v>Lundi</v>
      </c>
      <c r="E352" s="124">
        <f t="shared" si="32"/>
        <v>51</v>
      </c>
      <c r="F352" s="124">
        <f t="shared" ref="F352:F361" si="37">MONTH(C352)</f>
        <v>12</v>
      </c>
      <c r="G352" s="27"/>
      <c r="H352" s="28" t="str">
        <f>CONCATENATE(SUMIF($E$6:$E352,$E352,$K$6:$K$370)," / ",SUMIF($E$6:$E$370,$E352,$K$6:$K716))</f>
        <v>0 / 0</v>
      </c>
      <c r="I352" s="28" t="str">
        <f>CONCATENATE(SUMIF($F$6:$F352,$F352,$K$6:$K716)," / ",SUMIF($F$6:$F$370,$F352,$K$6:$K716))</f>
        <v>0 / 0</v>
      </c>
      <c r="J352" s="28" t="str">
        <f>CONCATENATE(SUM($K$6:$K352)," / ",SUM($K$6:$K$370))</f>
        <v>180,895 / 180,895</v>
      </c>
      <c r="K352" s="245">
        <v>0</v>
      </c>
      <c r="L352" s="28"/>
      <c r="M352" s="28" t="str">
        <f>CONCATENATE(SUMIF($E$6:$E352,$E352,$P$6:$P$370)," / ",SUMIF($E$6:$E$370,$E352,$P$6:$P$370))</f>
        <v>0 / 0</v>
      </c>
      <c r="N352" s="28" t="str">
        <f ca="1">CONCATENATE(SUMIF($F$6:$F352,$F352,$P352)," / ",SUMIF($F$6:$F$370,$F352,$P$6:$P$370))</f>
        <v>0 / 0</v>
      </c>
      <c r="O352" s="28" t="str">
        <f t="shared" si="34"/>
        <v>0 / 30</v>
      </c>
      <c r="P352" s="245">
        <v>0</v>
      </c>
      <c r="Q352" s="28"/>
      <c r="R352" s="246">
        <v>0</v>
      </c>
      <c r="S352" s="28" t="str">
        <f>CONCATENATE(SUMIF($E$6:$E352,E352,$R$6:$R$370)," / ",SUMIF($E$6:$E$370,E352,$R$6:$R$370))</f>
        <v>0 / 0</v>
      </c>
      <c r="T352" s="28" t="str">
        <f>CONCATENATE(SUMIF($F$6:$F352,$F352,$R$6:$R$370)," / ",SUMIF($F$6:$F$370,$F352,$R$6:$R$370))</f>
        <v>0 / 0</v>
      </c>
      <c r="U352" s="28" t="str">
        <f>CONCATENATE(SUM($R$6:$R352)," / ",SUM($R$6:$R$370))</f>
        <v>0 / 0</v>
      </c>
    </row>
    <row r="353" spans="2:21" ht="13" thickBot="1">
      <c r="B353" s="28"/>
      <c r="C353" s="237">
        <f t="shared" si="35"/>
        <v>42717</v>
      </c>
      <c r="D353" s="35" t="str">
        <f t="shared" si="36"/>
        <v>Mardi</v>
      </c>
      <c r="E353" s="124">
        <f t="shared" si="32"/>
        <v>51</v>
      </c>
      <c r="F353" s="124">
        <f t="shared" si="37"/>
        <v>12</v>
      </c>
      <c r="G353" s="27"/>
      <c r="H353" s="28" t="str">
        <f>CONCATENATE(SUMIF($E$6:$E353,$E353,$K$6:$K$370)," / ",SUMIF($E$6:$E$370,$E353,$K$6:$K717))</f>
        <v>0 / 0</v>
      </c>
      <c r="I353" s="28" t="str">
        <f>CONCATENATE(SUMIF($F$6:$F353,$F353,$K$6:$K717)," / ",SUMIF($F$6:$F$370,$F353,$K$6:$K717))</f>
        <v>0 / 0</v>
      </c>
      <c r="J353" s="28" t="str">
        <f>CONCATENATE(SUM($K$6:$K353)," / ",SUM($K$6:$K$370))</f>
        <v>180,895 / 180,895</v>
      </c>
      <c r="K353" s="245">
        <v>0</v>
      </c>
      <c r="L353" s="28"/>
      <c r="M353" s="28" t="str">
        <f>CONCATENATE(SUMIF($E$6:$E353,$E353,$P$6:$P$370)," / ",SUMIF($E$6:$E$370,$E353,$P$6:$P$370))</f>
        <v>0 / 0</v>
      </c>
      <c r="N353" s="28" t="str">
        <f ca="1">CONCATENATE(SUMIF($F$6:$F353,$F353,$P353)," / ",SUMIF($F$6:$F$370,$F353,$P$6:$P$370))</f>
        <v>0 / 0</v>
      </c>
      <c r="O353" s="28" t="str">
        <f t="shared" si="34"/>
        <v>0 / 30</v>
      </c>
      <c r="P353" s="245">
        <v>0</v>
      </c>
      <c r="Q353" s="28"/>
      <c r="R353" s="246">
        <v>0</v>
      </c>
      <c r="S353" s="28" t="str">
        <f>CONCATENATE(SUMIF($E$6:$E353,E353,$R$6:$R$370)," / ",SUMIF($E$6:$E$370,E353,$R$6:$R$370))</f>
        <v>0 / 0</v>
      </c>
      <c r="T353" s="28" t="str">
        <f>CONCATENATE(SUMIF($F$6:$F353,$F353,$R$6:$R$370)," / ",SUMIF($F$6:$F$370,$F353,$R$6:$R$370))</f>
        <v>0 / 0</v>
      </c>
      <c r="U353" s="28" t="str">
        <f>CONCATENATE(SUM($R$6:$R353)," / ",SUM($R$6:$R$370))</f>
        <v>0 / 0</v>
      </c>
    </row>
    <row r="354" spans="2:21" ht="13" thickBot="1">
      <c r="B354" s="28"/>
      <c r="C354" s="237">
        <f t="shared" si="35"/>
        <v>42718</v>
      </c>
      <c r="D354" s="35" t="str">
        <f t="shared" si="36"/>
        <v>Mercredi</v>
      </c>
      <c r="E354" s="124">
        <f t="shared" si="32"/>
        <v>51</v>
      </c>
      <c r="F354" s="124">
        <f t="shared" si="37"/>
        <v>12</v>
      </c>
      <c r="G354" s="27"/>
      <c r="H354" s="28" t="str">
        <f>CONCATENATE(SUMIF($E$6:$E354,$E354,$K$6:$K$370)," / ",SUMIF($E$6:$E$370,$E354,$K$6:$K718))</f>
        <v>0 / 0</v>
      </c>
      <c r="I354" s="28" t="str">
        <f>CONCATENATE(SUMIF($F$6:$F354,$F354,$K$6:$K718)," / ",SUMIF($F$6:$F$370,$F354,$K$6:$K718))</f>
        <v>0 / 0</v>
      </c>
      <c r="J354" s="28" t="str">
        <f>CONCATENATE(SUM($K$6:$K354)," / ",SUM($K$6:$K$370))</f>
        <v>180,895 / 180,895</v>
      </c>
      <c r="K354" s="245">
        <v>0</v>
      </c>
      <c r="L354" s="28"/>
      <c r="M354" s="28" t="str">
        <f>CONCATENATE(SUMIF($E$6:$E354,$E354,$P$6:$P$370)," / ",SUMIF($E$6:$E$370,$E354,$P$6:$P$370))</f>
        <v>0 / 0</v>
      </c>
      <c r="N354" s="28" t="str">
        <f ca="1">CONCATENATE(SUMIF($F$6:$F354,$F354,$P354)," / ",SUMIF($F$6:$F$370,$F354,$P$6:$P$370))</f>
        <v>0 / 0</v>
      </c>
      <c r="O354" s="28" t="str">
        <f t="shared" si="34"/>
        <v>0 / 30</v>
      </c>
      <c r="P354" s="245">
        <v>0</v>
      </c>
      <c r="Q354" s="28"/>
      <c r="R354" s="246">
        <v>0</v>
      </c>
      <c r="S354" s="28" t="str">
        <f>CONCATENATE(SUMIF($E$6:$E354,E354,$R$6:$R$370)," / ",SUMIF($E$6:$E$370,E354,$R$6:$R$370))</f>
        <v>0 / 0</v>
      </c>
      <c r="T354" s="28" t="str">
        <f>CONCATENATE(SUMIF($F$6:$F354,$F354,$R$6:$R$370)," / ",SUMIF($F$6:$F$370,$F354,$R$6:$R$370))</f>
        <v>0 / 0</v>
      </c>
      <c r="U354" s="28" t="str">
        <f>CONCATENATE(SUM($R$6:$R354)," / ",SUM($R$6:$R$370))</f>
        <v>0 / 0</v>
      </c>
    </row>
    <row r="355" spans="2:21" ht="13" thickBot="1">
      <c r="B355" s="28"/>
      <c r="C355" s="237">
        <f t="shared" si="35"/>
        <v>42719</v>
      </c>
      <c r="D355" s="35" t="str">
        <f t="shared" si="36"/>
        <v>Jeudi</v>
      </c>
      <c r="E355" s="124">
        <f t="shared" si="32"/>
        <v>51</v>
      </c>
      <c r="F355" s="124">
        <f t="shared" si="37"/>
        <v>12</v>
      </c>
      <c r="G355" s="27"/>
      <c r="H355" s="28" t="str">
        <f>CONCATENATE(SUMIF($E$6:$E355,$E355,$K$6:$K$370)," / ",SUMIF($E$6:$E$370,$E355,$K$6:$K719))</f>
        <v>0 / 0</v>
      </c>
      <c r="I355" s="28" t="str">
        <f>CONCATENATE(SUMIF($F$6:$F355,$F355,$K$6:$K719)," / ",SUMIF($F$6:$F$370,$F355,$K$6:$K719))</f>
        <v>0 / 0</v>
      </c>
      <c r="J355" s="28" t="str">
        <f>CONCATENATE(SUM($K$6:$K355)," / ",SUM($K$6:$K$370))</f>
        <v>180,895 / 180,895</v>
      </c>
      <c r="K355" s="245">
        <v>0</v>
      </c>
      <c r="L355" s="28"/>
      <c r="M355" s="28" t="str">
        <f>CONCATENATE(SUMIF($E$6:$E355,$E355,$P$6:$P$370)," / ",SUMIF($E$6:$E$370,$E355,$P$6:$P$370))</f>
        <v>0 / 0</v>
      </c>
      <c r="N355" s="28" t="str">
        <f ca="1">CONCATENATE(SUMIF($F$6:$F355,$F355,$P355)," / ",SUMIF($F$6:$F$370,$F355,$P$6:$P$370))</f>
        <v>0 / 0</v>
      </c>
      <c r="O355" s="28" t="str">
        <f t="shared" si="34"/>
        <v>0 / 30</v>
      </c>
      <c r="P355" s="245">
        <v>0</v>
      </c>
      <c r="Q355" s="28"/>
      <c r="R355" s="246">
        <v>0</v>
      </c>
      <c r="S355" s="28" t="str">
        <f>CONCATENATE(SUMIF($E$6:$E355,E355,$R$6:$R$370)," / ",SUMIF($E$6:$E$370,E355,$R$6:$R$370))</f>
        <v>0 / 0</v>
      </c>
      <c r="T355" s="28" t="str">
        <f>CONCATENATE(SUMIF($F$6:$F355,$F355,$R$6:$R$370)," / ",SUMIF($F$6:$F$370,$F355,$R$6:$R$370))</f>
        <v>0 / 0</v>
      </c>
      <c r="U355" s="28" t="str">
        <f>CONCATENATE(SUM($R$6:$R355)," / ",SUM($R$6:$R$370))</f>
        <v>0 / 0</v>
      </c>
    </row>
    <row r="356" spans="2:21" ht="13" thickBot="1">
      <c r="B356" s="28"/>
      <c r="C356" s="237">
        <f t="shared" si="35"/>
        <v>42720</v>
      </c>
      <c r="D356" s="35" t="str">
        <f t="shared" si="36"/>
        <v>Vendredi</v>
      </c>
      <c r="E356" s="124">
        <f t="shared" si="32"/>
        <v>51</v>
      </c>
      <c r="F356" s="124">
        <f t="shared" si="37"/>
        <v>12</v>
      </c>
      <c r="G356" s="27"/>
      <c r="H356" s="28" t="str">
        <f>CONCATENATE(SUMIF($E$6:$E356,$E356,$K$6:$K$370)," / ",SUMIF($E$6:$E$370,$E356,$K$6:$K720))</f>
        <v>0 / 0</v>
      </c>
      <c r="I356" s="28" t="str">
        <f>CONCATENATE(SUMIF($F$6:$F356,$F356,$K$6:$K720)," / ",SUMIF($F$6:$F$370,$F356,$K$6:$K720))</f>
        <v>0 / 0</v>
      </c>
      <c r="J356" s="28" t="str">
        <f>CONCATENATE(SUM($K$6:$K356)," / ",SUM($K$6:$K$370))</f>
        <v>180,895 / 180,895</v>
      </c>
      <c r="K356" s="245">
        <v>0</v>
      </c>
      <c r="L356" s="28"/>
      <c r="M356" s="28" t="str">
        <f>CONCATENATE(SUMIF($E$6:$E356,$E356,$P$6:$P$370)," / ",SUMIF($E$6:$E$370,$E356,$P$6:$P$370))</f>
        <v>0 / 0</v>
      </c>
      <c r="N356" s="28" t="str">
        <f ca="1">CONCATENATE(SUMIF($F$6:$F356,$F356,$P356)," / ",SUMIF($F$6:$F$370,$F356,$P$6:$P$370))</f>
        <v>0 / 0</v>
      </c>
      <c r="O356" s="28" t="str">
        <f t="shared" si="34"/>
        <v>0 / 30</v>
      </c>
      <c r="P356" s="245">
        <v>0</v>
      </c>
      <c r="Q356" s="28"/>
      <c r="R356" s="246">
        <v>0</v>
      </c>
      <c r="S356" s="28" t="str">
        <f>CONCATENATE(SUMIF($E$6:$E356,E356,$R$6:$R$370)," / ",SUMIF($E$6:$E$370,E356,$R$6:$R$370))</f>
        <v>0 / 0</v>
      </c>
      <c r="T356" s="28" t="str">
        <f>CONCATENATE(SUMIF($F$6:$F356,$F356,$R$6:$R$370)," / ",SUMIF($F$6:$F$370,$F356,$R$6:$R$370))</f>
        <v>0 / 0</v>
      </c>
      <c r="U356" s="28" t="str">
        <f>CONCATENATE(SUM($R$6:$R356)," / ",SUM($R$6:$R$370))</f>
        <v>0 / 0</v>
      </c>
    </row>
    <row r="357" spans="2:21" ht="13" thickBot="1">
      <c r="B357" s="28"/>
      <c r="C357" s="237">
        <f t="shared" si="35"/>
        <v>42721</v>
      </c>
      <c r="D357" s="35" t="str">
        <f t="shared" si="36"/>
        <v>samedi</v>
      </c>
      <c r="E357" s="124">
        <f t="shared" si="32"/>
        <v>51</v>
      </c>
      <c r="F357" s="124">
        <f t="shared" si="37"/>
        <v>12</v>
      </c>
      <c r="G357" s="27"/>
      <c r="H357" s="28" t="str">
        <f>CONCATENATE(SUMIF($E$6:$E357,$E357,$K$6:$K$370)," / ",SUMIF($E$6:$E$370,$E357,$K$6:$K721))</f>
        <v>0 / 0</v>
      </c>
      <c r="I357" s="28" t="str">
        <f>CONCATENATE(SUMIF($F$6:$F357,$F357,$K$6:$K721)," / ",SUMIF($F$6:$F$370,$F357,$K$6:$K721))</f>
        <v>0 / 0</v>
      </c>
      <c r="J357" s="28" t="str">
        <f>CONCATENATE(SUM($K$6:$K357)," / ",SUM($K$6:$K$370))</f>
        <v>180,895 / 180,895</v>
      </c>
      <c r="K357" s="245">
        <v>0</v>
      </c>
      <c r="L357" s="28"/>
      <c r="M357" s="28" t="str">
        <f>CONCATENATE(SUMIF($E$6:$E357,$E357,$P$6:$P$370)," / ",SUMIF($E$6:$E$370,$E357,$P$6:$P$370))</f>
        <v>0 / 0</v>
      </c>
      <c r="N357" s="28" t="str">
        <f ca="1">CONCATENATE(SUMIF($F$6:$F357,$F357,$P357)," / ",SUMIF($F$6:$F$370,$F357,$P$6:$P$370))</f>
        <v>0 / 0</v>
      </c>
      <c r="O357" s="28" t="str">
        <f t="shared" si="34"/>
        <v>0 / 30</v>
      </c>
      <c r="P357" s="245">
        <v>0</v>
      </c>
      <c r="Q357" s="28"/>
      <c r="R357" s="246">
        <v>0</v>
      </c>
      <c r="S357" s="28" t="str">
        <f>CONCATENATE(SUMIF($E$6:$E357,E357,$R$6:$R$370)," / ",SUMIF($E$6:$E$370,E357,$R$6:$R$370))</f>
        <v>0 / 0</v>
      </c>
      <c r="T357" s="28" t="str">
        <f>CONCATENATE(SUMIF($F$6:$F357,$F357,$R$6:$R$370)," / ",SUMIF($F$6:$F$370,$F357,$R$6:$R$370))</f>
        <v>0 / 0</v>
      </c>
      <c r="U357" s="28" t="str">
        <f>CONCATENATE(SUM($R$6:$R357)," / ",SUM($R$6:$R$370))</f>
        <v>0 / 0</v>
      </c>
    </row>
    <row r="358" spans="2:21" ht="13" thickBot="1">
      <c r="B358" s="28"/>
      <c r="C358" s="237">
        <f t="shared" si="35"/>
        <v>42722</v>
      </c>
      <c r="D358" s="35" t="str">
        <f t="shared" si="36"/>
        <v>Dimanche</v>
      </c>
      <c r="E358" s="124">
        <f t="shared" si="32"/>
        <v>52</v>
      </c>
      <c r="F358" s="124">
        <f t="shared" si="37"/>
        <v>12</v>
      </c>
      <c r="G358" s="27"/>
      <c r="H358" s="28" t="str">
        <f>CONCATENATE(SUMIF($E$6:$E358,$E358,$K$6:$K$370)," / ",SUMIF($E$6:$E$370,$E358,$K$6:$K722))</f>
        <v>0 / 0</v>
      </c>
      <c r="I358" s="28" t="str">
        <f>CONCATENATE(SUMIF($F$6:$F358,$F358,$K$6:$K722)," / ",SUMIF($F$6:$F$370,$F358,$K$6:$K722))</f>
        <v>0 / 0</v>
      </c>
      <c r="J358" s="28" t="str">
        <f>CONCATENATE(SUM($K$6:$K358)," / ",SUM($K$6:$K$370))</f>
        <v>180,895 / 180,895</v>
      </c>
      <c r="K358" s="245">
        <v>0</v>
      </c>
      <c r="L358" s="28"/>
      <c r="M358" s="28" t="str">
        <f>CONCATENATE(SUMIF($E$6:$E358,$E358,$P$6:$P$370)," / ",SUMIF($E$6:$E$370,$E358,$P$6:$P$370))</f>
        <v>0 / 0</v>
      </c>
      <c r="N358" s="28" t="str">
        <f ca="1">CONCATENATE(SUMIF($F$6:$F358,$F358,$P358)," / ",SUMIF($F$6:$F$370,$F358,$P$6:$P$370))</f>
        <v>0 / 0</v>
      </c>
      <c r="O358" s="28" t="str">
        <f t="shared" si="34"/>
        <v>0 / 30</v>
      </c>
      <c r="P358" s="245">
        <v>0</v>
      </c>
      <c r="Q358" s="28"/>
      <c r="R358" s="246">
        <v>0</v>
      </c>
      <c r="S358" s="28" t="str">
        <f>CONCATENATE(SUMIF($E$6:$E358,E358,$R$6:$R$370)," / ",SUMIF($E$6:$E$370,E358,$R$6:$R$370))</f>
        <v>0 / 0</v>
      </c>
      <c r="T358" s="28" t="str">
        <f>CONCATENATE(SUMIF($F$6:$F358,$F358,$R$6:$R$370)," / ",SUMIF($F$6:$F$370,$F358,$R$6:$R$370))</f>
        <v>0 / 0</v>
      </c>
      <c r="U358" s="28" t="str">
        <f>CONCATENATE(SUM($R$6:$R358)," / ",SUM($R$6:$R$370))</f>
        <v>0 / 0</v>
      </c>
    </row>
    <row r="359" spans="2:21" ht="13" thickBot="1">
      <c r="B359" s="28"/>
      <c r="C359" s="237">
        <f t="shared" si="35"/>
        <v>42723</v>
      </c>
      <c r="D359" s="35" t="str">
        <f t="shared" si="36"/>
        <v>Lundi</v>
      </c>
      <c r="E359" s="124">
        <f t="shared" si="32"/>
        <v>52</v>
      </c>
      <c r="F359" s="124">
        <f t="shared" si="37"/>
        <v>12</v>
      </c>
      <c r="G359" s="27"/>
      <c r="H359" s="28" t="str">
        <f>CONCATENATE(SUMIF($E$6:$E359,$E359,$K$6:$K$370)," / ",SUMIF($E$6:$E$370,$E359,$K$6:$K723))</f>
        <v>0 / 0</v>
      </c>
      <c r="I359" s="28" t="str">
        <f>CONCATENATE(SUMIF($F$6:$F359,$F359,$K$6:$K723)," / ",SUMIF($F$6:$F$370,$F359,$K$6:$K723))</f>
        <v>0 / 0</v>
      </c>
      <c r="J359" s="28" t="str">
        <f>CONCATENATE(SUM($K$6:$K359)," / ",SUM($K$6:$K$370))</f>
        <v>180,895 / 180,895</v>
      </c>
      <c r="K359" s="245">
        <v>0</v>
      </c>
      <c r="L359" s="28"/>
      <c r="M359" s="28" t="str">
        <f>CONCATENATE(SUMIF($E$6:$E359,$E359,$P$6:$P$370)," / ",SUMIF($E$6:$E$370,$E359,$P$6:$P$370))</f>
        <v>0 / 0</v>
      </c>
      <c r="N359" s="28" t="str">
        <f ca="1">CONCATENATE(SUMIF($F$6:$F359,$F359,$P359)," / ",SUMIF($F$6:$F$370,$F359,$P$6:$P$370))</f>
        <v>0 / 0</v>
      </c>
      <c r="O359" s="28" t="str">
        <f t="shared" si="34"/>
        <v>0 / 30</v>
      </c>
      <c r="P359" s="245">
        <v>0</v>
      </c>
      <c r="Q359" s="28"/>
      <c r="R359" s="246">
        <v>0</v>
      </c>
      <c r="S359" s="28" t="str">
        <f>CONCATENATE(SUMIF($E$6:$E359,E359,$R$6:$R$370)," / ",SUMIF($E$6:$E$370,E359,$R$6:$R$370))</f>
        <v>0 / 0</v>
      </c>
      <c r="T359" s="28" t="str">
        <f>CONCATENATE(SUMIF($F$6:$F359,$F359,$R$6:$R$370)," / ",SUMIF($F$6:$F$370,$F359,$R$6:$R$370))</f>
        <v>0 / 0</v>
      </c>
      <c r="U359" s="28" t="str">
        <f>CONCATENATE(SUM($R$6:$R359)," / ",SUM($R$6:$R$370))</f>
        <v>0 / 0</v>
      </c>
    </row>
    <row r="360" spans="2:21" ht="13" thickBot="1">
      <c r="B360" s="28"/>
      <c r="C360" s="237">
        <f t="shared" si="35"/>
        <v>42724</v>
      </c>
      <c r="D360" s="35" t="str">
        <f t="shared" si="36"/>
        <v>Mardi</v>
      </c>
      <c r="E360" s="124">
        <f t="shared" si="32"/>
        <v>52</v>
      </c>
      <c r="F360" s="124">
        <f t="shared" si="37"/>
        <v>12</v>
      </c>
      <c r="G360" s="27"/>
      <c r="H360" s="28" t="str">
        <f>CONCATENATE(SUMIF($E$6:$E360,$E360,$K$6:$K$370)," / ",SUMIF($E$6:$E$370,$E360,$K$6:$K724))</f>
        <v>0 / 0</v>
      </c>
      <c r="I360" s="28" t="str">
        <f>CONCATENATE(SUMIF($F$6:$F360,$F360,$K$6:$K724)," / ",SUMIF($F$6:$F$370,$F360,$K$6:$K724))</f>
        <v>0 / 0</v>
      </c>
      <c r="J360" s="28" t="str">
        <f>CONCATENATE(SUM($K$6:$K360)," / ",SUM($K$6:$K$370))</f>
        <v>180,895 / 180,895</v>
      </c>
      <c r="K360" s="245">
        <v>0</v>
      </c>
      <c r="L360" s="28"/>
      <c r="M360" s="28" t="str">
        <f>CONCATENATE(SUMIF($E$6:$E360,$E360,$P$6:$P$370)," / ",SUMIF($E$6:$E$370,$E360,$P$6:$P$370))</f>
        <v>0 / 0</v>
      </c>
      <c r="N360" s="28" t="str">
        <f ca="1">CONCATENATE(SUMIF($F$6:$F360,$F360,$P360)," / ",SUMIF($F$6:$F$370,$F360,$P$6:$P$370))</f>
        <v>0 / 0</v>
      </c>
      <c r="O360" s="28" t="str">
        <f t="shared" si="34"/>
        <v>0 / 30</v>
      </c>
      <c r="P360" s="245">
        <v>0</v>
      </c>
      <c r="Q360" s="28"/>
      <c r="R360" s="246">
        <v>0</v>
      </c>
      <c r="S360" s="28" t="str">
        <f>CONCATENATE(SUMIF($E$6:$E360,E360,$R$6:$R$370)," / ",SUMIF($E$6:$E$370,E360,$R$6:$R$370))</f>
        <v>0 / 0</v>
      </c>
      <c r="T360" s="28" t="str">
        <f>CONCATENATE(SUMIF($F$6:$F360,$F360,$R$6:$R$370)," / ",SUMIF($F$6:$F$370,$F360,$R$6:$R$370))</f>
        <v>0 / 0</v>
      </c>
      <c r="U360" s="28" t="str">
        <f>CONCATENATE(SUM($R$6:$R360)," / ",SUM($R$6:$R$370))</f>
        <v>0 / 0</v>
      </c>
    </row>
    <row r="361" spans="2:21" ht="13" thickBot="1">
      <c r="B361" s="28"/>
      <c r="C361" s="237">
        <f t="shared" si="35"/>
        <v>42725</v>
      </c>
      <c r="D361" s="35" t="str">
        <f t="shared" si="36"/>
        <v>Mercredi</v>
      </c>
      <c r="E361" s="124">
        <f t="shared" si="32"/>
        <v>52</v>
      </c>
      <c r="F361" s="124">
        <f t="shared" si="37"/>
        <v>12</v>
      </c>
      <c r="G361" s="27"/>
      <c r="H361" s="28" t="str">
        <f>CONCATENATE(SUMIF($E$6:$E361,$E361,$K$6:$K$370)," / ",SUMIF($E$6:$E$370,$E361,$K$6:$K725))</f>
        <v>0 / 0</v>
      </c>
      <c r="I361" s="28" t="str">
        <f>CONCATENATE(SUMIF($F$6:$F361,$F361,$K$6:$K725)," / ",SUMIF($F$6:$F$370,$F361,$K$6:$K725))</f>
        <v>0 / 0</v>
      </c>
      <c r="J361" s="28" t="str">
        <f>CONCATENATE(SUM($K$6:$K361)," / ",SUM($K$6:$K$370))</f>
        <v>180,895 / 180,895</v>
      </c>
      <c r="K361" s="245">
        <v>0</v>
      </c>
      <c r="L361" s="28"/>
      <c r="M361" s="28" t="str">
        <f>CONCATENATE(SUMIF($E$6:$E361,$E361,$P$6:$P$370)," / ",SUMIF($E$6:$E$370,$E361,$P$6:$P$370))</f>
        <v>0 / 0</v>
      </c>
      <c r="N361" s="28" t="str">
        <f ca="1">CONCATENATE(SUMIF($F$6:$F361,$F361,$P361)," / ",SUMIF($F$6:$F$370,$F361,$P$6:$P$370))</f>
        <v>0 / 0</v>
      </c>
      <c r="O361" s="28" t="str">
        <f t="shared" si="34"/>
        <v>0 / 30</v>
      </c>
      <c r="P361" s="245">
        <v>0</v>
      </c>
      <c r="Q361" s="28"/>
      <c r="R361" s="246">
        <v>0</v>
      </c>
      <c r="S361" s="28" t="str">
        <f>CONCATENATE(SUMIF($E$6:$E361,E361,$R$6:$R$370)," / ",SUMIF($E$6:$E$370,E361,$R$6:$R$370))</f>
        <v>0 / 0</v>
      </c>
      <c r="T361" s="28" t="str">
        <f>CONCATENATE(SUMIF($F$6:$F361,$F361,$R$6:$R$370)," / ",SUMIF($F$6:$F$370,$F361,$R$6:$R$370))</f>
        <v>0 / 0</v>
      </c>
      <c r="U361" s="28" t="str">
        <f>CONCATENATE(SUM($R$6:$R361)," / ",SUM($R$6:$R$370))</f>
        <v>0 / 0</v>
      </c>
    </row>
    <row r="362" spans="2:21" ht="13" thickBot="1">
      <c r="B362" s="28"/>
      <c r="C362" s="237">
        <f t="shared" si="35"/>
        <v>42726</v>
      </c>
      <c r="D362" s="35" t="str">
        <f t="shared" si="36"/>
        <v>Jeudi</v>
      </c>
      <c r="E362" s="124">
        <f t="shared" si="32"/>
        <v>52</v>
      </c>
      <c r="F362" s="124">
        <f t="shared" ref="F362:F370" si="38">MONTH(C362)</f>
        <v>12</v>
      </c>
      <c r="G362" s="27"/>
      <c r="H362" s="28" t="str">
        <f>CONCATENATE(SUMIF($E$6:$E362,$E362,$K$6:$K$370)," / ",SUMIF($E$6:$E$370,$E362,$K$6:$K726))</f>
        <v>0 / 0</v>
      </c>
      <c r="I362" s="28" t="str">
        <f>CONCATENATE(SUMIF($F$6:$F362,$F362,$K$6:$K726)," / ",SUMIF($F$6:$F$370,$F362,$K$6:$K726))</f>
        <v>0 / 0</v>
      </c>
      <c r="J362" s="28" t="str">
        <f>CONCATENATE(SUM($K$6:$K362)," / ",SUM($K$6:$K$370))</f>
        <v>180,895 / 180,895</v>
      </c>
      <c r="K362" s="245">
        <v>0</v>
      </c>
      <c r="L362" s="28"/>
      <c r="M362" s="28" t="str">
        <f>CONCATENATE(SUMIF($E$6:$E362,$E362,$P$6:$P$370)," / ",SUMIF($E$6:$E$370,$E362,$P$6:$P$370))</f>
        <v>0 / 0</v>
      </c>
      <c r="N362" s="28" t="str">
        <f ca="1">CONCATENATE(SUMIF($F$6:$F362,$F362,$P362)," / ",SUMIF($F$6:$F$370,$F362,$P$6:$P$370))</f>
        <v>0 / 0</v>
      </c>
      <c r="O362" s="28" t="str">
        <f t="shared" si="34"/>
        <v>0 / 30</v>
      </c>
      <c r="P362" s="245">
        <v>0</v>
      </c>
      <c r="Q362" s="28"/>
      <c r="R362" s="246">
        <v>0</v>
      </c>
      <c r="S362" s="28" t="str">
        <f>CONCATENATE(SUMIF($E$6:$E362,E362,$R$6:$R$370)," / ",SUMIF($E$6:$E$370,E362,$R$6:$R$370))</f>
        <v>0 / 0</v>
      </c>
      <c r="T362" s="28" t="str">
        <f>CONCATENATE(SUMIF($F$6:$F362,$F362,$R$6:$R$370)," / ",SUMIF($F$6:$F$370,$F362,$R$6:$R$370))</f>
        <v>0 / 0</v>
      </c>
      <c r="U362" s="28" t="str">
        <f>CONCATENATE(SUM($R$6:$R362)," / ",SUM($R$6:$R$370))</f>
        <v>0 / 0</v>
      </c>
    </row>
    <row r="363" spans="2:21" ht="13" thickBot="1">
      <c r="B363" s="28"/>
      <c r="C363" s="237">
        <f t="shared" si="35"/>
        <v>42727</v>
      </c>
      <c r="D363" s="35" t="str">
        <f t="shared" si="36"/>
        <v>Vendredi</v>
      </c>
      <c r="E363" s="124">
        <f t="shared" si="32"/>
        <v>52</v>
      </c>
      <c r="F363" s="124">
        <f t="shared" si="38"/>
        <v>12</v>
      </c>
      <c r="G363" s="27"/>
      <c r="H363" s="28" t="str">
        <f>CONCATENATE(SUMIF($E$6:$E363,$E363,$K$6:$K$370)," / ",SUMIF($E$6:$E$370,$E363,$K$6:$K727))</f>
        <v>0 / 0</v>
      </c>
      <c r="I363" s="28" t="str">
        <f>CONCATENATE(SUMIF($F$6:$F363,$F363,$K$6:$K727)," / ",SUMIF($F$6:$F$370,$F363,$K$6:$K727))</f>
        <v>0 / 0</v>
      </c>
      <c r="J363" s="28" t="str">
        <f>CONCATENATE(SUM($K$6:$K363)," / ",SUM($K$6:$K$370))</f>
        <v>180,895 / 180,895</v>
      </c>
      <c r="K363" s="245">
        <v>0</v>
      </c>
      <c r="L363" s="28"/>
      <c r="M363" s="28" t="str">
        <f>CONCATENATE(SUMIF($E$6:$E363,$E363,$P$6:$P$370)," / ",SUMIF($E$6:$E$370,$E363,$P$6:$P$370))</f>
        <v>0 / 0</v>
      </c>
      <c r="N363" s="28" t="str">
        <f ca="1">CONCATENATE(SUMIF($F$6:$F363,$F363,$P363)," / ",SUMIF($F$6:$F$370,$F363,$P$6:$P$370))</f>
        <v>0 / 0</v>
      </c>
      <c r="O363" s="28" t="str">
        <f t="shared" si="34"/>
        <v>0 / 30</v>
      </c>
      <c r="P363" s="245">
        <v>0</v>
      </c>
      <c r="Q363" s="28"/>
      <c r="R363" s="246">
        <v>0</v>
      </c>
      <c r="S363" s="28" t="str">
        <f>CONCATENATE(SUMIF($E$6:$E363,E363,$R$6:$R$370)," / ",SUMIF($E$6:$E$370,E363,$R$6:$R$370))</f>
        <v>0 / 0</v>
      </c>
      <c r="T363" s="28" t="str">
        <f>CONCATENATE(SUMIF($F$6:$F363,$F363,$R$6:$R$370)," / ",SUMIF($F$6:$F$370,$F363,$R$6:$R$370))</f>
        <v>0 / 0</v>
      </c>
      <c r="U363" s="28" t="str">
        <f>CONCATENATE(SUM($R$6:$R363)," / ",SUM($R$6:$R$370))</f>
        <v>0 / 0</v>
      </c>
    </row>
    <row r="364" spans="2:21" ht="13" thickBot="1">
      <c r="B364" s="28"/>
      <c r="C364" s="237">
        <f t="shared" si="35"/>
        <v>42728</v>
      </c>
      <c r="D364" s="35" t="str">
        <f t="shared" si="36"/>
        <v>samedi</v>
      </c>
      <c r="E364" s="124">
        <f t="shared" si="32"/>
        <v>52</v>
      </c>
      <c r="F364" s="124">
        <f t="shared" si="38"/>
        <v>12</v>
      </c>
      <c r="G364" s="27"/>
      <c r="H364" s="28" t="str">
        <f>CONCATENATE(SUMIF($E$6:$E364,$E364,$K$6:$K$370)," / ",SUMIF($E$6:$E$370,$E364,$K$6:$K728))</f>
        <v>0 / 0</v>
      </c>
      <c r="I364" s="28" t="str">
        <f>CONCATENATE(SUMIF($F$6:$F364,$F364,$K$6:$K728)," / ",SUMIF($F$6:$F$370,$F364,$K$6:$K728))</f>
        <v>0 / 0</v>
      </c>
      <c r="J364" s="28" t="str">
        <f>CONCATENATE(SUM($K$6:$K364)," / ",SUM($K$6:$K$370))</f>
        <v>180,895 / 180,895</v>
      </c>
      <c r="K364" s="245">
        <v>0</v>
      </c>
      <c r="L364" s="28"/>
      <c r="M364" s="28" t="str">
        <f>CONCATENATE(SUMIF($E$6:$E364,$E364,$P$6:$P$370)," / ",SUMIF($E$6:$E$370,$E364,$P$6:$P$370))</f>
        <v>0 / 0</v>
      </c>
      <c r="N364" s="28" t="str">
        <f ca="1">CONCATENATE(SUMIF($F$6:$F364,$F364,$P364)," / ",SUMIF($F$6:$F$370,$F364,$P$6:$P$370))</f>
        <v>0 / 0</v>
      </c>
      <c r="O364" s="28" t="str">
        <f t="shared" si="34"/>
        <v>0 / 30</v>
      </c>
      <c r="P364" s="245">
        <v>0</v>
      </c>
      <c r="Q364" s="28"/>
      <c r="R364" s="246">
        <v>0</v>
      </c>
      <c r="S364" s="28" t="str">
        <f>CONCATENATE(SUMIF($E$6:$E364,E364,$R$6:$R$370)," / ",SUMIF($E$6:$E$370,E364,$R$6:$R$370))</f>
        <v>0 / 0</v>
      </c>
      <c r="T364" s="28" t="str">
        <f>CONCATENATE(SUMIF($F$6:$F364,$F364,$R$6:$R$370)," / ",SUMIF($F$6:$F$370,$F364,$R$6:$R$370))</f>
        <v>0 / 0</v>
      </c>
      <c r="U364" s="28" t="str">
        <f>CONCATENATE(SUM($R$6:$R364)," / ",SUM($R$6:$R$370))</f>
        <v>0 / 0</v>
      </c>
    </row>
    <row r="365" spans="2:21" ht="13" thickBot="1">
      <c r="B365" s="28"/>
      <c r="C365" s="237">
        <f t="shared" si="35"/>
        <v>42729</v>
      </c>
      <c r="D365" s="35" t="str">
        <f t="shared" si="36"/>
        <v>Dimanche</v>
      </c>
      <c r="E365" s="124">
        <f t="shared" si="32"/>
        <v>53</v>
      </c>
      <c r="F365" s="124">
        <f t="shared" si="38"/>
        <v>12</v>
      </c>
      <c r="G365" s="27"/>
      <c r="H365" s="28" t="str">
        <f>CONCATENATE(SUMIF($E$6:$E365,$E365,$K$6:$K$370)," / ",SUMIF($E$6:$E$370,$E365,$K$6:$K729))</f>
        <v>0 / 0</v>
      </c>
      <c r="I365" s="28" t="str">
        <f>CONCATENATE(SUMIF($F$6:$F365,$F365,$K$6:$K729)," / ",SUMIF($F$6:$F$370,$F365,$K$6:$K729))</f>
        <v>0 / 0</v>
      </c>
      <c r="J365" s="28" t="str">
        <f>CONCATENATE(SUM($K$6:$K365)," / ",SUM($K$6:$K$370))</f>
        <v>180,895 / 180,895</v>
      </c>
      <c r="K365" s="245">
        <v>0</v>
      </c>
      <c r="L365" s="28"/>
      <c r="M365" s="28" t="str">
        <f>CONCATENATE(SUMIF($E$6:$E365,$E365,$P$6:$P$370)," / ",SUMIF($E$6:$E$370,$E365,$P$6:$P$370))</f>
        <v>0 / 0</v>
      </c>
      <c r="N365" s="28" t="str">
        <f ca="1">CONCATENATE(SUMIF($F$6:$F365,$F365,$P365)," / ",SUMIF($F$6:$F$370,$F365,$P$6:$P$370))</f>
        <v>0 / 0</v>
      </c>
      <c r="O365" s="28" t="str">
        <f t="shared" si="34"/>
        <v>0 / 30</v>
      </c>
      <c r="P365" s="245">
        <v>0</v>
      </c>
      <c r="Q365" s="28"/>
      <c r="R365" s="246">
        <v>0</v>
      </c>
      <c r="S365" s="28" t="str">
        <f>CONCATENATE(SUMIF($E$6:$E365,E365,$R$6:$R$370)," / ",SUMIF($E$6:$E$370,E365,$R$6:$R$370))</f>
        <v>0 / 0</v>
      </c>
      <c r="T365" s="28" t="str">
        <f>CONCATENATE(SUMIF($F$6:$F365,$F365,$R$6:$R$370)," / ",SUMIF($F$6:$F$370,$F365,$R$6:$R$370))</f>
        <v>0 / 0</v>
      </c>
      <c r="U365" s="28" t="str">
        <f>CONCATENATE(SUM($R$6:$R365)," / ",SUM($R$6:$R$370))</f>
        <v>0 / 0</v>
      </c>
    </row>
    <row r="366" spans="2:21" ht="13" thickBot="1">
      <c r="B366" s="28"/>
      <c r="C366" s="237">
        <f t="shared" si="35"/>
        <v>42730</v>
      </c>
      <c r="D366" s="35" t="str">
        <f t="shared" si="36"/>
        <v>Lundi</v>
      </c>
      <c r="E366" s="124">
        <f t="shared" si="32"/>
        <v>53</v>
      </c>
      <c r="F366" s="124">
        <f t="shared" si="38"/>
        <v>12</v>
      </c>
      <c r="G366" s="27"/>
      <c r="H366" s="28" t="str">
        <f>CONCATENATE(SUMIF($E$6:$E366,$E366,$K$6:$K$370)," / ",SUMIF($E$6:$E$370,$E366,$K$6:$K730))</f>
        <v>0 / 0</v>
      </c>
      <c r="I366" s="28" t="str">
        <f>CONCATENATE(SUMIF($F$6:$F366,$F366,$K$6:$K730)," / ",SUMIF($F$6:$F$370,$F366,$K$6:$K730))</f>
        <v>0 / 0</v>
      </c>
      <c r="J366" s="28" t="str">
        <f>CONCATENATE(SUM($K$6:$K366)," / ",SUM($K$6:$K$370))</f>
        <v>180,895 / 180,895</v>
      </c>
      <c r="K366" s="245">
        <v>0</v>
      </c>
      <c r="L366" s="28"/>
      <c r="M366" s="28" t="str">
        <f>CONCATENATE(SUMIF($E$6:$E366,$E366,$P$6:$P$370)," / ",SUMIF($E$6:$E$370,$E366,$P$6:$P$370))</f>
        <v>0 / 0</v>
      </c>
      <c r="N366" s="28" t="str">
        <f ca="1">CONCATENATE(SUMIF($F$6:$F366,$F366,$P366)," / ",SUMIF($F$6:$F$370,$F366,$P$6:$P$370))</f>
        <v>0 / 0</v>
      </c>
      <c r="O366" s="28" t="str">
        <f t="shared" si="34"/>
        <v>0 / 30</v>
      </c>
      <c r="P366" s="245">
        <v>0</v>
      </c>
      <c r="Q366" s="28"/>
      <c r="R366" s="246">
        <v>0</v>
      </c>
      <c r="S366" s="28" t="str">
        <f>CONCATENATE(SUMIF($E$6:$E366,E366,$R$6:$R$370)," / ",SUMIF($E$6:$E$370,E366,$R$6:$R$370))</f>
        <v>0 / 0</v>
      </c>
      <c r="T366" s="28" t="str">
        <f>CONCATENATE(SUMIF($F$6:$F366,$F366,$R$6:$R$370)," / ",SUMIF($F$6:$F$370,$F366,$R$6:$R$370))</f>
        <v>0 / 0</v>
      </c>
      <c r="U366" s="28" t="str">
        <f>CONCATENATE(SUM($R$6:$R366)," / ",SUM($R$6:$R$370))</f>
        <v>0 / 0</v>
      </c>
    </row>
    <row r="367" spans="2:21" ht="13" thickBot="1">
      <c r="B367" s="28"/>
      <c r="C367" s="237">
        <f t="shared" si="35"/>
        <v>42731</v>
      </c>
      <c r="D367" s="35" t="str">
        <f t="shared" si="36"/>
        <v>Mardi</v>
      </c>
      <c r="E367" s="124">
        <f t="shared" si="32"/>
        <v>53</v>
      </c>
      <c r="F367" s="124">
        <f t="shared" si="38"/>
        <v>12</v>
      </c>
      <c r="G367" s="27"/>
      <c r="H367" s="28" t="str">
        <f>CONCATENATE(SUMIF($E$6:$E367,$E367,$K$6:$K$370)," / ",SUMIF($E$6:$E$370,$E367,$K$6:$K731))</f>
        <v>0 / 0</v>
      </c>
      <c r="I367" s="28" t="str">
        <f>CONCATENATE(SUMIF($F$6:$F367,$F367,$K$6:$K731)," / ",SUMIF($F$6:$F$370,$F367,$K$6:$K731))</f>
        <v>0 / 0</v>
      </c>
      <c r="J367" s="28" t="str">
        <f>CONCATENATE(SUM($K$6:$K367)," / ",SUM($K$6:$K$370))</f>
        <v>180,895 / 180,895</v>
      </c>
      <c r="K367" s="245">
        <v>0</v>
      </c>
      <c r="L367" s="28"/>
      <c r="M367" s="28" t="str">
        <f>CONCATENATE(SUMIF($E$6:$E367,$E367,$P$6:$P$370)," / ",SUMIF($E$6:$E$370,$E367,$P$6:$P$370))</f>
        <v>0 / 0</v>
      </c>
      <c r="N367" s="28" t="str">
        <f ca="1">CONCATENATE(SUMIF($F$6:$F367,$F367,$P367)," / ",SUMIF($F$6:$F$370,$F367,$P$6:$P$370))</f>
        <v>0 / 0</v>
      </c>
      <c r="O367" s="28" t="str">
        <f t="shared" si="34"/>
        <v>0 / 30</v>
      </c>
      <c r="P367" s="245">
        <v>0</v>
      </c>
      <c r="Q367" s="28"/>
      <c r="R367" s="246">
        <v>0</v>
      </c>
      <c r="S367" s="28" t="str">
        <f>CONCATENATE(SUMIF($E$6:$E367,E367,$R$6:$R$370)," / ",SUMIF($E$6:$E$370,E367,$R$6:$R$370))</f>
        <v>0 / 0</v>
      </c>
      <c r="T367" s="28" t="str">
        <f>CONCATENATE(SUMIF($F$6:$F367,$F367,$R$6:$R$370)," / ",SUMIF($F$6:$F$370,$F367,$R$6:$R$370))</f>
        <v>0 / 0</v>
      </c>
      <c r="U367" s="28" t="str">
        <f>CONCATENATE(SUM($R$6:$R367)," / ",SUM($R$6:$R$370))</f>
        <v>0 / 0</v>
      </c>
    </row>
    <row r="368" spans="2:21" ht="13" thickBot="1">
      <c r="B368" s="28"/>
      <c r="C368" s="237">
        <f t="shared" si="35"/>
        <v>42732</v>
      </c>
      <c r="D368" s="35" t="str">
        <f t="shared" si="36"/>
        <v>Mercredi</v>
      </c>
      <c r="E368" s="124">
        <f t="shared" si="32"/>
        <v>53</v>
      </c>
      <c r="F368" s="124">
        <f t="shared" si="38"/>
        <v>12</v>
      </c>
      <c r="G368" s="27"/>
      <c r="H368" s="28" t="str">
        <f>CONCATENATE(SUMIF($E$6:$E368,$E368,$K$6:$K$370)," / ",SUMIF($E$6:$E$370,$E368,$K$6:$K732))</f>
        <v>0 / 0</v>
      </c>
      <c r="I368" s="28" t="str">
        <f>CONCATENATE(SUMIF($F$6:$F368,$F368,$K$6:$K732)," / ",SUMIF($F$6:$F$370,$F368,$K$6:$K732))</f>
        <v>0 / 0</v>
      </c>
      <c r="J368" s="28" t="str">
        <f>CONCATENATE(SUM($K$6:$K368)," / ",SUM($K$6:$K$370))</f>
        <v>180,895 / 180,895</v>
      </c>
      <c r="K368" s="245">
        <v>0</v>
      </c>
      <c r="L368" s="28"/>
      <c r="M368" s="28" t="str">
        <f>CONCATENATE(SUMIF($E$6:$E368,$E368,$P$6:$P$370)," / ",SUMIF($E$6:$E$370,$E368,$P$6:$P$370))</f>
        <v>0 / 0</v>
      </c>
      <c r="N368" s="28" t="str">
        <f ca="1">CONCATENATE(SUMIF($F$6:$F368,$F368,$P368)," / ",SUMIF($F$6:$F$370,$F368,$P$6:$P$370))</f>
        <v>0 / 0</v>
      </c>
      <c r="O368" s="28" t="str">
        <f t="shared" si="34"/>
        <v>0 / 30</v>
      </c>
      <c r="P368" s="245">
        <v>0</v>
      </c>
      <c r="Q368" s="28"/>
      <c r="R368" s="246">
        <v>0</v>
      </c>
      <c r="S368" s="28" t="str">
        <f>CONCATENATE(SUMIF($E$6:$E368,E368,$R$6:$R$370)," / ",SUMIF($E$6:$E$370,E368,$R$6:$R$370))</f>
        <v>0 / 0</v>
      </c>
      <c r="T368" s="28" t="str">
        <f>CONCATENATE(SUMIF($F$6:$F368,$F368,$R$6:$R$370)," / ",SUMIF($F$6:$F$370,$F368,$R$6:$R$370))</f>
        <v>0 / 0</v>
      </c>
      <c r="U368" s="28" t="str">
        <f>CONCATENATE(SUM($R$6:$R368)," / ",SUM($R$6:$R$370))</f>
        <v>0 / 0</v>
      </c>
    </row>
    <row r="369" spans="2:24" ht="13" thickBot="1">
      <c r="B369" s="28"/>
      <c r="C369" s="237">
        <f t="shared" si="35"/>
        <v>42733</v>
      </c>
      <c r="D369" s="35" t="str">
        <f t="shared" si="36"/>
        <v>Jeudi</v>
      </c>
      <c r="E369" s="124">
        <f t="shared" si="32"/>
        <v>53</v>
      </c>
      <c r="F369" s="124">
        <f t="shared" si="38"/>
        <v>12</v>
      </c>
      <c r="G369" s="27"/>
      <c r="H369" s="28" t="str">
        <f>CONCATENATE(SUMIF($E$6:$E369,$E369,$K$6:$K$370)," / ",SUMIF($E$6:$E$370,$E369,$K$6:$K733))</f>
        <v>0 / 0</v>
      </c>
      <c r="I369" s="28" t="str">
        <f>CONCATENATE(SUMIF($F$6:$F369,$F369,$K$6:$K733)," / ",SUMIF($F$6:$F$370,$F369,$K$6:$K733))</f>
        <v>0 / 0</v>
      </c>
      <c r="J369" s="28" t="str">
        <f>CONCATENATE(SUM($K$6:$K369)," / ",SUM($K$6:$K$370))</f>
        <v>180,895 / 180,895</v>
      </c>
      <c r="K369" s="245">
        <v>0</v>
      </c>
      <c r="L369" s="28"/>
      <c r="M369" s="28" t="str">
        <f>CONCATENATE(SUMIF($E$6:$E369,$E369,$P$6:$P$370)," / ",SUMIF($E$6:$E$370,$E369,$P$6:$P$370))</f>
        <v>0 / 0</v>
      </c>
      <c r="N369" s="28" t="str">
        <f ca="1">CONCATENATE(SUMIF($F$6:$F369,$F369,$P369)," / ",SUMIF($F$6:$F$370,$F369,$P$6:$P$370))</f>
        <v>0 / 0</v>
      </c>
      <c r="O369" s="28" t="str">
        <f t="shared" si="34"/>
        <v>0 / 30</v>
      </c>
      <c r="P369" s="245">
        <v>0</v>
      </c>
      <c r="Q369" s="28"/>
      <c r="R369" s="246">
        <v>0</v>
      </c>
      <c r="S369" s="28" t="str">
        <f>CONCATENATE(SUMIF($E$6:$E369,E369,$R$6:$R$370)," / ",SUMIF($E$6:$E$370,E369,$R$6:$R$370))</f>
        <v>0 / 0</v>
      </c>
      <c r="T369" s="28" t="str">
        <f>CONCATENATE(SUMIF($F$6:$F369,$F369,$R$6:$R$370)," / ",SUMIF($F$6:$F$370,$F369,$R$6:$R$370))</f>
        <v>0 / 0</v>
      </c>
      <c r="U369" s="28" t="str">
        <f>CONCATENATE(SUM($R$6:$R369)," / ",SUM($R$6:$R$370))</f>
        <v>0 / 0</v>
      </c>
    </row>
    <row r="370" spans="2:24" ht="13" thickBot="1">
      <c r="B370" s="28"/>
      <c r="C370" s="237">
        <f t="shared" si="35"/>
        <v>42734</v>
      </c>
      <c r="D370" s="35" t="str">
        <f t="shared" si="36"/>
        <v>Vendredi</v>
      </c>
      <c r="E370" s="124">
        <f t="shared" si="32"/>
        <v>53</v>
      </c>
      <c r="F370" s="124">
        <f t="shared" si="38"/>
        <v>12</v>
      </c>
      <c r="G370" s="27"/>
      <c r="H370" s="28" t="str">
        <f>CONCATENATE(SUMIF($E$6:$E370,$E370,$K$6:$K$370)," / ",SUMIF($E$6:$E$370,$E370,$K$6:$K734))</f>
        <v>0 / 0</v>
      </c>
      <c r="I370" s="28" t="str">
        <f>CONCATENATE(SUMIF($F$6:$F370,$F370,$K$6:$K734)," / ",SUMIF($F$6:$F$370,$F370,$K$6:$K734))</f>
        <v>0 / 0</v>
      </c>
      <c r="J370" s="28" t="str">
        <f>CONCATENATE(SUM($K$6:$K370)," / ",SUM($K$6:$K$370))</f>
        <v>180,895 / 180,895</v>
      </c>
      <c r="K370" s="245">
        <v>0</v>
      </c>
      <c r="L370" s="28"/>
      <c r="M370" s="28" t="str">
        <f>CONCATENATE(SUMIF($E$6:$E370,$E370,$P$6:$P$370)," / ",SUMIF($E$6:$E$370,$E370,$P$6:$P$370))</f>
        <v>0 / 0</v>
      </c>
      <c r="N370" s="28" t="str">
        <f ca="1">CONCATENATE(SUMIF($F$6:$F370,$F370,$P370)," / ",SUMIF($F$6:$F$370,$F370,$P$6:$P$370))</f>
        <v>0 / 0</v>
      </c>
      <c r="O370" s="28" t="str">
        <f t="shared" si="34"/>
        <v>0 / 30</v>
      </c>
      <c r="P370" s="245">
        <v>0</v>
      </c>
      <c r="Q370" s="28"/>
      <c r="R370" s="246">
        <v>0</v>
      </c>
      <c r="S370" s="28" t="str">
        <f>CONCATENATE(SUMIF($E$6:$E370,E370,$R$6:$R$370)," / ",SUMIF($E$6:$E$370,E370,$R$6:$R$370))</f>
        <v>0 / 0</v>
      </c>
      <c r="T370" s="28" t="str">
        <f>CONCATENATE(SUMIF($F$6:$F370,$F370,$R$6:$R$370)," / ",SUMIF($F$6:$F$370,$F370,$R$6:$R$370))</f>
        <v>0 / 0</v>
      </c>
      <c r="U370" s="28" t="str">
        <f>CONCATENATE(SUM($R$6:$R370)," / ",SUM($R$6:$R$370))</f>
        <v>0 / 0</v>
      </c>
    </row>
    <row r="371" spans="2:24">
      <c r="C371" s="243"/>
      <c r="D371" s="243"/>
      <c r="E371"/>
      <c r="F371"/>
      <c r="X371"/>
    </row>
    <row r="372" spans="2:24">
      <c r="C372" s="243"/>
      <c r="D372" s="243"/>
      <c r="E372"/>
      <c r="F372"/>
      <c r="X372"/>
    </row>
  </sheetData>
  <mergeCells count="6">
    <mergeCell ref="W2:W5"/>
    <mergeCell ref="H4:L4"/>
    <mergeCell ref="M4:Q4"/>
    <mergeCell ref="R4:U4"/>
    <mergeCell ref="B2:U2"/>
    <mergeCell ref="C4:G4"/>
  </mergeCells>
  <conditionalFormatting sqref="B26 D113 D151 D276 D238 D363 J26:U26">
    <cfRule type="cellIs" dxfId="13" priority="2" operator="equal">
      <formula>"X"</formula>
    </cfRule>
  </conditionalFormatting>
  <dataValidations count="3">
    <dataValidation type="whole" showDropDown="1" showInputMessage="1" showErrorMessage="1" sqref="R6:R370">
      <formula1>0</formula1>
      <formula2>10000</formula2>
    </dataValidation>
    <dataValidation type="list" allowBlank="1" showInputMessage="1" showErrorMessage="1" sqref="L6:L370">
      <formula1>L_CHAUSSURES</formula1>
    </dataValidation>
    <dataValidation type="list" allowBlank="1" showInputMessage="1" showErrorMessage="1" sqref="Q6:Q370">
      <formula1>L_CYCLES</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showGridLines="0" workbookViewId="0">
      <selection activeCell="J17" sqref="J17"/>
    </sheetView>
  </sheetViews>
  <sheetFormatPr baseColWidth="10" defaultRowHeight="12" x14ac:dyDescent="0"/>
  <cols>
    <col min="1" max="1" width="2.6640625" customWidth="1"/>
    <col min="2" max="2" width="29.6640625" style="3" customWidth="1"/>
    <col min="3" max="3" width="12.5" customWidth="1"/>
    <col min="4" max="4" width="12.5" bestFit="1" customWidth="1"/>
    <col min="5" max="5" width="9.33203125" bestFit="1" customWidth="1"/>
    <col min="6" max="6" width="5.1640625" bestFit="1" customWidth="1"/>
    <col min="7" max="7" width="14.5" bestFit="1" customWidth="1"/>
    <col min="8" max="8" width="12.33203125" bestFit="1" customWidth="1"/>
    <col min="9" max="9" width="10.83203125" bestFit="1" customWidth="1"/>
    <col min="10" max="10" width="12" customWidth="1"/>
    <col min="12" max="12" width="12.1640625" bestFit="1" customWidth="1"/>
  </cols>
  <sheetData>
    <row r="1" spans="1:13" ht="13" thickBot="1"/>
    <row r="2" spans="1:13" ht="23" customHeight="1" thickBot="1">
      <c r="B2" s="398" t="s">
        <v>121</v>
      </c>
      <c r="C2" s="399"/>
      <c r="D2" s="399"/>
      <c r="E2" s="399"/>
      <c r="F2" s="399"/>
      <c r="G2" s="399"/>
      <c r="H2" s="399"/>
      <c r="I2" s="400"/>
    </row>
    <row r="3" spans="1:13" ht="13" thickBot="1">
      <c r="K3" s="2"/>
    </row>
    <row r="4" spans="1:13" ht="37" thickBot="1">
      <c r="B4" s="20" t="s">
        <v>346</v>
      </c>
      <c r="C4" s="20" t="s">
        <v>347</v>
      </c>
      <c r="D4" s="20" t="s">
        <v>349</v>
      </c>
      <c r="E4" s="20" t="s">
        <v>302</v>
      </c>
      <c r="F4" s="20" t="s">
        <v>348</v>
      </c>
      <c r="G4" s="20" t="s">
        <v>350</v>
      </c>
      <c r="H4" s="20" t="s">
        <v>353</v>
      </c>
      <c r="I4" s="125" t="s">
        <v>355</v>
      </c>
      <c r="J4" s="125" t="s">
        <v>354</v>
      </c>
      <c r="K4" s="125" t="s">
        <v>356</v>
      </c>
      <c r="L4" s="125" t="s">
        <v>357</v>
      </c>
      <c r="M4" s="125" t="s">
        <v>358</v>
      </c>
    </row>
    <row r="5" spans="1:13" ht="13" thickBot="1">
      <c r="B5" s="25" t="s">
        <v>351</v>
      </c>
      <c r="C5" s="24">
        <v>26</v>
      </c>
      <c r="D5" s="28">
        <f>IF(C5&lt;20,4,IF(AND(C5&gt;=20,C5&lt;35),5,IF(AND(C5&gt;=35,C5&lt;42.5),6,IF(AND(C5&gt;=42.5,C5&lt;50),7,IF(AND(C5&gt;=50,C5&lt;80),8,IF(AND(C5&gt;=80,C5&lt;120),9,10))))))</f>
        <v>5</v>
      </c>
      <c r="E5" s="28">
        <v>650</v>
      </c>
      <c r="F5" s="28"/>
      <c r="G5" s="24">
        <f t="shared" ref="G5:G20" si="0">($E5*$D5)/1000+$C5</f>
        <v>29.25</v>
      </c>
      <c r="H5" s="28">
        <v>2</v>
      </c>
      <c r="I5" s="24">
        <f t="shared" ref="I5:I20" si="1">($E5*($D5+$H5))/1000+$C5</f>
        <v>30.55</v>
      </c>
      <c r="J5" s="270">
        <v>0.1111111111111111</v>
      </c>
      <c r="K5" s="197">
        <f>$C5/(HOUR($J5)+MINUTE($J5)/60+SECOND($J5)/3600)</f>
        <v>9.75</v>
      </c>
      <c r="L5" s="197">
        <f>$G5/(HOUR($J5)+MINUTE($J5)/60+SECOND($J5)/3600)</f>
        <v>10.96875</v>
      </c>
      <c r="M5" s="197">
        <f>$I5/(HOUR($J5)+MINUTE($J5)/60+SECOND($J5)/3600)</f>
        <v>11.456250000000001</v>
      </c>
    </row>
    <row r="6" spans="1:13" ht="13" thickBot="1">
      <c r="B6" s="25" t="s">
        <v>352</v>
      </c>
      <c r="C6" s="24">
        <v>98.3</v>
      </c>
      <c r="D6" s="28">
        <f>IF(C6&lt;20,4,IF(AND(C6&gt;=20,C6&lt;35),5,IF(AND(C6&gt;=35,C6&lt;42.5),6,IF(AND(C6&gt;=42.5,C6&lt;50),7,IF(AND(C6&gt;=50,C6&lt;80),8,IF(AND(C6&gt;=80,C6&lt;120),9,10))))))</f>
        <v>9</v>
      </c>
      <c r="E6" s="28">
        <v>5549</v>
      </c>
      <c r="F6" s="28"/>
      <c r="G6" s="24">
        <f t="shared" si="0"/>
        <v>148.24099999999999</v>
      </c>
      <c r="H6" s="28">
        <v>1</v>
      </c>
      <c r="I6" s="24">
        <f t="shared" si="1"/>
        <v>153.79</v>
      </c>
      <c r="J6" s="271"/>
      <c r="K6" s="24"/>
      <c r="L6" s="24"/>
      <c r="M6" s="24"/>
    </row>
    <row r="7" spans="1:13" ht="13" thickBot="1">
      <c r="B7" s="25" t="s">
        <v>359</v>
      </c>
      <c r="C7" s="24">
        <v>19.655000000000001</v>
      </c>
      <c r="D7" s="28">
        <f>IF(C7&lt;20,4,IF(AND(C7&gt;=20,C7&lt;35),5,IF(AND(C7&gt;=35,C7&lt;42.5),6,IF(AND(C7&gt;=42.5,C7&lt;50),7,IF(AND(C7&gt;=50,C7&lt;80),8,IF(AND(C7&gt;=80,C7&lt;120),9,10))))))</f>
        <v>4</v>
      </c>
      <c r="E7" s="28">
        <v>270</v>
      </c>
      <c r="F7" s="28"/>
      <c r="G7" s="24">
        <f t="shared" si="0"/>
        <v>20.734999999999999</v>
      </c>
      <c r="H7" s="28">
        <v>1</v>
      </c>
      <c r="I7" s="24">
        <f t="shared" si="1"/>
        <v>21.005000000000003</v>
      </c>
      <c r="J7" s="270">
        <v>8.6631944444444442E-2</v>
      </c>
      <c r="K7" s="197">
        <f t="shared" ref="K7:K20" si="2">$C7/(HOUR($J7)+MINUTE($J7)/60+SECOND($J7)/3600)</f>
        <v>9.4533066132264523</v>
      </c>
      <c r="L7" s="197">
        <f t="shared" ref="L7:L20" si="3">$G7/(HOUR($J7)+MINUTE($J7)/60+SECOND($J7)/3600)</f>
        <v>9.9727454909819624</v>
      </c>
      <c r="M7" s="197">
        <f t="shared" ref="M7:M20" si="4">$I7/(HOUR($J7)+MINUTE($J7)/60+SECOND($J7)/3600)</f>
        <v>10.10260521042084</v>
      </c>
    </row>
    <row r="8" spans="1:13" ht="13" thickBot="1">
      <c r="B8" s="25" t="s">
        <v>360</v>
      </c>
      <c r="C8" s="24">
        <v>17</v>
      </c>
      <c r="D8" s="190">
        <f>IF(C8&lt;20,4,IF(AND(C8&gt;=20,C8&lt;35),5,IF(AND(C8&gt;=35,C8&lt;42.5),6,IF(AND(C8&gt;=42.5,C8&lt;50),7,IF(AND(C8&gt;=50,C8&lt;80),8,IF(AND(C8&gt;=80,C8&lt;120),9,10))))))</f>
        <v>4</v>
      </c>
      <c r="E8" s="190">
        <v>270</v>
      </c>
      <c r="F8" s="24"/>
      <c r="G8" s="24">
        <f t="shared" si="0"/>
        <v>18.079999999999998</v>
      </c>
      <c r="H8" s="190">
        <v>1</v>
      </c>
      <c r="I8" s="24">
        <f t="shared" si="1"/>
        <v>18.350000000000001</v>
      </c>
      <c r="J8" s="270">
        <v>7.2129629629629641E-2</v>
      </c>
      <c r="K8" s="24">
        <f t="shared" si="2"/>
        <v>9.8202824133504478</v>
      </c>
      <c r="L8" s="24">
        <f t="shared" si="3"/>
        <v>10.444159178433887</v>
      </c>
      <c r="M8" s="24">
        <f t="shared" si="4"/>
        <v>10.60012836970475</v>
      </c>
    </row>
    <row r="9" spans="1:13" ht="13" thickBot="1">
      <c r="B9" s="25" t="s">
        <v>504</v>
      </c>
      <c r="C9" s="24">
        <v>27.5</v>
      </c>
      <c r="D9" s="190">
        <v>9</v>
      </c>
      <c r="E9" s="190">
        <v>1118</v>
      </c>
      <c r="F9" s="24">
        <v>1107</v>
      </c>
      <c r="G9" s="24">
        <f t="shared" si="0"/>
        <v>37.561999999999998</v>
      </c>
      <c r="H9" s="190">
        <v>3</v>
      </c>
      <c r="I9" s="24">
        <f t="shared" si="1"/>
        <v>40.915999999999997</v>
      </c>
      <c r="J9" s="270">
        <v>0.20138888888888887</v>
      </c>
      <c r="K9" s="24">
        <f t="shared" si="2"/>
        <v>5.6896551724137936</v>
      </c>
      <c r="L9" s="24">
        <f t="shared" si="3"/>
        <v>7.7714482758620687</v>
      </c>
      <c r="M9" s="24">
        <f t="shared" si="4"/>
        <v>8.4653793103448276</v>
      </c>
    </row>
    <row r="10" spans="1:13" ht="13" thickBot="1">
      <c r="B10" s="25" t="s">
        <v>518</v>
      </c>
      <c r="C10" s="24">
        <v>26</v>
      </c>
      <c r="D10" s="190">
        <v>8</v>
      </c>
      <c r="E10" s="190">
        <v>1150</v>
      </c>
      <c r="F10" s="24">
        <v>1150</v>
      </c>
      <c r="G10" s="24">
        <f t="shared" si="0"/>
        <v>35.200000000000003</v>
      </c>
      <c r="H10" s="190">
        <v>3</v>
      </c>
      <c r="I10" s="24">
        <f t="shared" si="1"/>
        <v>38.65</v>
      </c>
      <c r="J10" s="272">
        <v>0.15625</v>
      </c>
      <c r="K10" s="24">
        <f t="shared" si="2"/>
        <v>6.9333333333333336</v>
      </c>
      <c r="L10" s="24">
        <f t="shared" si="3"/>
        <v>9.3866666666666667</v>
      </c>
      <c r="M10" s="24">
        <f t="shared" si="4"/>
        <v>10.306666666666667</v>
      </c>
    </row>
    <row r="11" spans="1:13" ht="13" thickBot="1">
      <c r="B11" s="25" t="s">
        <v>520</v>
      </c>
      <c r="C11" s="24">
        <v>51</v>
      </c>
      <c r="D11" s="190">
        <v>5</v>
      </c>
      <c r="E11" s="190">
        <v>1700</v>
      </c>
      <c r="F11" s="24">
        <v>1700</v>
      </c>
      <c r="G11" s="24">
        <f t="shared" si="0"/>
        <v>59.5</v>
      </c>
      <c r="H11" s="190">
        <v>1</v>
      </c>
      <c r="I11" s="24">
        <f t="shared" si="1"/>
        <v>61.2</v>
      </c>
      <c r="J11" s="272">
        <v>0.27083333333333331</v>
      </c>
      <c r="K11" s="24">
        <f t="shared" si="2"/>
        <v>7.8461538461538458</v>
      </c>
      <c r="L11" s="24">
        <f t="shared" si="3"/>
        <v>9.1538461538461533</v>
      </c>
      <c r="M11" s="24">
        <f t="shared" si="4"/>
        <v>9.4153846153846157</v>
      </c>
    </row>
    <row r="12" spans="1:13" ht="13" thickBot="1">
      <c r="B12" s="25" t="s">
        <v>529</v>
      </c>
      <c r="C12" s="24">
        <v>10</v>
      </c>
      <c r="D12" s="190">
        <v>8</v>
      </c>
      <c r="E12" s="190">
        <v>520</v>
      </c>
      <c r="F12" s="24">
        <v>320</v>
      </c>
      <c r="G12" s="24">
        <f t="shared" si="0"/>
        <v>14.16</v>
      </c>
      <c r="H12" s="190">
        <v>3</v>
      </c>
      <c r="I12" s="24">
        <f t="shared" si="1"/>
        <v>15.719999999999999</v>
      </c>
      <c r="J12" s="272">
        <v>5.9027777777777783E-2</v>
      </c>
      <c r="K12" s="24">
        <f t="shared" si="2"/>
        <v>7.0588235294117645</v>
      </c>
      <c r="L12" s="24">
        <f t="shared" si="3"/>
        <v>9.9952941176470578</v>
      </c>
      <c r="M12" s="24">
        <f t="shared" si="4"/>
        <v>11.096470588235293</v>
      </c>
    </row>
    <row r="13" spans="1:13" ht="13" thickBot="1">
      <c r="B13" s="25" t="s">
        <v>531</v>
      </c>
      <c r="C13" s="24">
        <v>42</v>
      </c>
      <c r="D13" s="190">
        <v>9</v>
      </c>
      <c r="E13" s="190">
        <v>3200</v>
      </c>
      <c r="F13" s="24">
        <v>2150</v>
      </c>
      <c r="G13" s="24">
        <f t="shared" si="0"/>
        <v>70.8</v>
      </c>
      <c r="H13" s="190">
        <v>3</v>
      </c>
      <c r="I13" s="24">
        <f t="shared" si="1"/>
        <v>80.400000000000006</v>
      </c>
      <c r="J13" s="272">
        <v>0.29166666666666669</v>
      </c>
      <c r="K13" s="24">
        <f t="shared" si="2"/>
        <v>6</v>
      </c>
      <c r="L13" s="24">
        <f t="shared" si="3"/>
        <v>10.114285714285714</v>
      </c>
      <c r="M13" s="24">
        <f t="shared" si="4"/>
        <v>11.485714285714286</v>
      </c>
    </row>
    <row r="14" spans="1:13" ht="13" thickBot="1">
      <c r="B14" s="25" t="s">
        <v>530</v>
      </c>
      <c r="C14" s="24">
        <v>14</v>
      </c>
      <c r="D14" s="190">
        <v>8</v>
      </c>
      <c r="E14" s="190">
        <v>1400</v>
      </c>
      <c r="F14" s="24">
        <v>1400</v>
      </c>
      <c r="G14" s="24">
        <f t="shared" si="0"/>
        <v>25.2</v>
      </c>
      <c r="H14" s="190">
        <v>3</v>
      </c>
      <c r="I14" s="24">
        <f t="shared" si="1"/>
        <v>29.4</v>
      </c>
      <c r="J14" s="272">
        <v>5.9027777777777783E-2</v>
      </c>
      <c r="K14" s="24">
        <f t="shared" si="2"/>
        <v>9.8823529411764692</v>
      </c>
      <c r="L14" s="24">
        <f t="shared" si="3"/>
        <v>17.788235294117644</v>
      </c>
      <c r="M14" s="24">
        <f t="shared" si="4"/>
        <v>20.752941176470586</v>
      </c>
    </row>
    <row r="15" spans="1:13" ht="13" thickBot="1">
      <c r="A15" s="18" t="s">
        <v>536</v>
      </c>
      <c r="B15" s="25" t="s">
        <v>537</v>
      </c>
      <c r="C15" s="24">
        <v>30</v>
      </c>
      <c r="D15" s="190">
        <v>7</v>
      </c>
      <c r="E15" s="190">
        <v>2341</v>
      </c>
      <c r="F15" s="24">
        <v>1659</v>
      </c>
      <c r="G15" s="24">
        <f t="shared" si="0"/>
        <v>46.387</v>
      </c>
      <c r="H15" s="190">
        <v>3</v>
      </c>
      <c r="I15" s="24">
        <f t="shared" si="1"/>
        <v>53.41</v>
      </c>
      <c r="J15" s="272">
        <v>0.27083333333333331</v>
      </c>
      <c r="K15" s="24">
        <f t="shared" si="2"/>
        <v>4.615384615384615</v>
      </c>
      <c r="L15" s="24">
        <f t="shared" si="3"/>
        <v>7.1364615384615382</v>
      </c>
      <c r="M15" s="24">
        <f t="shared" si="4"/>
        <v>8.2169230769230772</v>
      </c>
    </row>
    <row r="16" spans="1:13" ht="13" thickBot="1">
      <c r="A16" s="18"/>
      <c r="B16" s="25" t="s">
        <v>540</v>
      </c>
      <c r="C16" s="24">
        <v>6</v>
      </c>
      <c r="D16" s="190">
        <v>6</v>
      </c>
      <c r="E16" s="190">
        <v>430</v>
      </c>
      <c r="F16" s="24">
        <v>60</v>
      </c>
      <c r="G16" s="24">
        <f t="shared" si="0"/>
        <v>8.58</v>
      </c>
      <c r="H16" s="190">
        <v>1</v>
      </c>
      <c r="I16" s="24">
        <f t="shared" si="1"/>
        <v>9.01</v>
      </c>
      <c r="J16" s="272">
        <v>6.25E-2</v>
      </c>
      <c r="K16" s="24">
        <f t="shared" si="2"/>
        <v>4</v>
      </c>
      <c r="L16" s="24">
        <f t="shared" si="3"/>
        <v>5.72</v>
      </c>
      <c r="M16" s="24">
        <f t="shared" si="4"/>
        <v>6.0066666666666668</v>
      </c>
    </row>
    <row r="17" spans="1:13" ht="13" thickBot="1">
      <c r="A17" s="18"/>
      <c r="B17" s="25" t="s">
        <v>539</v>
      </c>
      <c r="C17" s="24">
        <v>3.5</v>
      </c>
      <c r="D17" s="190">
        <v>9</v>
      </c>
      <c r="E17" s="190">
        <v>1164</v>
      </c>
      <c r="F17" s="24">
        <v>0</v>
      </c>
      <c r="G17" s="24">
        <f t="shared" si="0"/>
        <v>13.976000000000001</v>
      </c>
      <c r="H17" s="190">
        <v>3</v>
      </c>
      <c r="I17" s="24">
        <f t="shared" si="1"/>
        <v>17.468</v>
      </c>
      <c r="J17" s="272">
        <v>6.6666666666666666E-2</v>
      </c>
      <c r="K17" s="24">
        <f t="shared" si="2"/>
        <v>2.1875</v>
      </c>
      <c r="L17" s="24">
        <f t="shared" si="3"/>
        <v>8.7349999999999994</v>
      </c>
      <c r="M17" s="24">
        <f t="shared" si="4"/>
        <v>10.917499999999999</v>
      </c>
    </row>
    <row r="18" spans="1:13" ht="13" thickBot="1">
      <c r="A18" s="18"/>
      <c r="B18" s="25" t="s">
        <v>538</v>
      </c>
      <c r="C18" s="24">
        <v>20</v>
      </c>
      <c r="D18" s="190">
        <v>7</v>
      </c>
      <c r="E18" s="190">
        <v>1865</v>
      </c>
      <c r="F18" s="24">
        <v>1865</v>
      </c>
      <c r="G18" s="24">
        <f t="shared" si="0"/>
        <v>33.055</v>
      </c>
      <c r="H18" s="190">
        <v>3</v>
      </c>
      <c r="I18" s="24">
        <f t="shared" si="1"/>
        <v>38.65</v>
      </c>
      <c r="J18" s="272">
        <v>0.25</v>
      </c>
      <c r="K18" s="24">
        <f t="shared" si="2"/>
        <v>3.3333333333333335</v>
      </c>
      <c r="L18" s="24">
        <f t="shared" si="3"/>
        <v>5.5091666666666663</v>
      </c>
      <c r="M18" s="24">
        <f t="shared" si="4"/>
        <v>6.4416666666666664</v>
      </c>
    </row>
    <row r="19" spans="1:13" ht="13" thickBot="1">
      <c r="A19" s="18"/>
      <c r="B19" s="25" t="s">
        <v>551</v>
      </c>
      <c r="C19" s="24">
        <v>21.5</v>
      </c>
      <c r="D19" s="190">
        <v>0</v>
      </c>
      <c r="E19" s="190">
        <v>251</v>
      </c>
      <c r="F19" s="24">
        <v>252</v>
      </c>
      <c r="G19" s="24">
        <f t="shared" si="0"/>
        <v>21.5</v>
      </c>
      <c r="H19" s="190">
        <v>0</v>
      </c>
      <c r="I19" s="24">
        <f t="shared" si="1"/>
        <v>21.5</v>
      </c>
      <c r="J19" s="272">
        <v>7.8784722222222228E-2</v>
      </c>
      <c r="K19" s="24">
        <f t="shared" si="2"/>
        <v>11.37064786249449</v>
      </c>
      <c r="L19" s="24">
        <f t="shared" si="3"/>
        <v>11.37064786249449</v>
      </c>
      <c r="M19" s="24">
        <f t="shared" si="4"/>
        <v>11.37064786249449</v>
      </c>
    </row>
    <row r="20" spans="1:13" ht="13" thickBot="1">
      <c r="B20" s="25" t="s">
        <v>142</v>
      </c>
      <c r="C20" s="24">
        <v>15.714</v>
      </c>
      <c r="D20" s="190">
        <f>IF(C20&lt;20,4,IF(AND(C20&gt;=20,C20&lt;35),5,IF(AND(C20&gt;=35,C20&lt;42.5),6,IF(AND(C20&gt;=42.5,C20&lt;50),7,IF(AND(C20&gt;=50,C20&lt;80),8,IF(AND(C20&gt;=80,C20&lt;120),9,10))))))</f>
        <v>4</v>
      </c>
      <c r="E20" s="190">
        <v>270</v>
      </c>
      <c r="F20" s="24"/>
      <c r="G20" s="24">
        <f t="shared" si="0"/>
        <v>16.794</v>
      </c>
      <c r="H20" s="190">
        <v>1</v>
      </c>
      <c r="I20" s="24">
        <f t="shared" si="1"/>
        <v>17.064</v>
      </c>
      <c r="J20" s="270">
        <v>6.2812499999999993E-2</v>
      </c>
      <c r="K20" s="24">
        <f t="shared" si="2"/>
        <v>10.423880597014925</v>
      </c>
      <c r="L20" s="24">
        <f t="shared" si="3"/>
        <v>11.140298507462687</v>
      </c>
      <c r="M20" s="24">
        <f t="shared" si="4"/>
        <v>11.319402985074626</v>
      </c>
    </row>
    <row r="21" spans="1:13">
      <c r="B21"/>
      <c r="D21" s="16"/>
      <c r="E21" s="16"/>
      <c r="H21" s="16"/>
      <c r="J21" s="18" t="s">
        <v>437</v>
      </c>
    </row>
    <row r="22" spans="1:13">
      <c r="B22"/>
      <c r="D22" s="16"/>
      <c r="E22" s="16"/>
      <c r="H22" s="16"/>
    </row>
    <row r="23" spans="1:13">
      <c r="B23"/>
      <c r="D23" s="16"/>
      <c r="E23" s="16"/>
      <c r="H23" s="16"/>
    </row>
    <row r="24" spans="1:13">
      <c r="B24"/>
      <c r="D24" s="16"/>
      <c r="E24" s="16">
        <f>SUM(E12:E18)</f>
        <v>10920</v>
      </c>
      <c r="F24">
        <f>SUM(F12:F18)</f>
        <v>7454</v>
      </c>
      <c r="H24" s="16"/>
    </row>
    <row r="25" spans="1:13">
      <c r="B25"/>
      <c r="H25" s="16"/>
    </row>
    <row r="26" spans="1:13">
      <c r="B26"/>
      <c r="H26" s="16"/>
    </row>
    <row r="27" spans="1:13">
      <c r="B27"/>
    </row>
    <row r="28" spans="1:13">
      <c r="B28"/>
    </row>
    <row r="29" spans="1:13">
      <c r="B29"/>
    </row>
    <row r="30" spans="1:13">
      <c r="B30"/>
    </row>
    <row r="31" spans="1:13">
      <c r="B31"/>
    </row>
    <row r="32" spans="1:13">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1">
    <mergeCell ref="B2:I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98"/>
  <sheetViews>
    <sheetView showGridLines="0" workbookViewId="0">
      <selection activeCell="G41" sqref="G41"/>
    </sheetView>
  </sheetViews>
  <sheetFormatPr baseColWidth="10" defaultRowHeight="12" x14ac:dyDescent="0"/>
  <cols>
    <col min="1" max="1" width="2.6640625" customWidth="1"/>
    <col min="2" max="2" width="36.83203125" style="3" customWidth="1"/>
    <col min="3" max="3" width="20.33203125" customWidth="1"/>
    <col min="4" max="4" width="25.6640625" customWidth="1"/>
    <col min="5" max="5" width="14" style="3" customWidth="1"/>
    <col min="6" max="6" width="20.33203125" style="3" bestFit="1" customWidth="1"/>
    <col min="7" max="7" width="37" style="3" bestFit="1" customWidth="1"/>
    <col min="8" max="8" width="6.83203125" bestFit="1" customWidth="1"/>
    <col min="9" max="9" width="21.6640625" bestFit="1" customWidth="1"/>
    <col min="10" max="10" width="19.1640625" customWidth="1"/>
    <col min="11" max="11" width="21.6640625" bestFit="1" customWidth="1"/>
    <col min="12" max="12" width="17.83203125" customWidth="1"/>
  </cols>
  <sheetData>
    <row r="1" spans="2:14" ht="13" thickBot="1"/>
    <row r="2" spans="2:14" ht="23" customHeight="1" thickBot="1">
      <c r="B2" s="398" t="s">
        <v>376</v>
      </c>
      <c r="C2" s="399"/>
      <c r="D2" s="399"/>
      <c r="E2" s="399"/>
      <c r="F2" s="399"/>
      <c r="G2" s="399"/>
      <c r="H2" s="399"/>
      <c r="I2" s="399"/>
      <c r="J2" s="399"/>
      <c r="K2" s="399"/>
      <c r="L2" s="400"/>
    </row>
    <row r="3" spans="2:14" ht="13" thickBot="1"/>
    <row r="4" spans="2:14" ht="13" thickBot="1">
      <c r="B4" s="425" t="s">
        <v>377</v>
      </c>
      <c r="C4" s="426"/>
      <c r="D4" s="426"/>
      <c r="E4" s="426"/>
      <c r="F4" s="426"/>
      <c r="G4" s="427"/>
      <c r="I4" s="425" t="s">
        <v>448</v>
      </c>
      <c r="J4" s="426"/>
      <c r="K4" s="426"/>
      <c r="L4" s="427"/>
    </row>
    <row r="5" spans="2:14" ht="13" thickBot="1">
      <c r="I5" s="3"/>
    </row>
    <row r="6" spans="2:14" ht="27" thickBot="1">
      <c r="B6" s="20" t="s">
        <v>378</v>
      </c>
      <c r="C6" s="199" t="s">
        <v>379</v>
      </c>
      <c r="D6" s="199" t="s">
        <v>383</v>
      </c>
      <c r="E6" s="199" t="s">
        <v>385</v>
      </c>
      <c r="F6" s="199" t="s">
        <v>473</v>
      </c>
      <c r="G6" s="199" t="s">
        <v>619</v>
      </c>
      <c r="I6" s="20" t="s">
        <v>449</v>
      </c>
      <c r="J6" s="199" t="s">
        <v>453</v>
      </c>
      <c r="K6" s="210" t="s">
        <v>454</v>
      </c>
      <c r="L6" s="210" t="s">
        <v>452</v>
      </c>
    </row>
    <row r="7" spans="2:14" ht="14" thickBot="1">
      <c r="B7" s="17" t="s">
        <v>382</v>
      </c>
      <c r="C7" s="253">
        <v>42020</v>
      </c>
      <c r="D7" s="29">
        <v>42026</v>
      </c>
      <c r="E7" s="28" t="str">
        <f>CONCATENATE(TEXT(SUMIF('SORTIES 2015'!$K$6:$K$370,$B7,'SORTIES 2015'!$E$6:$E$370)+(SUMIF('SORTIES 2016'!$L$6:$L$370,B11,'SORTIES 2016'!$K$6:$K$370)),"000"),"/750")</f>
        <v>161/750</v>
      </c>
      <c r="F7" s="29">
        <v>42005</v>
      </c>
      <c r="G7" s="254"/>
      <c r="I7" s="17" t="s">
        <v>451</v>
      </c>
      <c r="J7" s="211">
        <v>3</v>
      </c>
      <c r="K7" s="124">
        <v>0.5</v>
      </c>
      <c r="L7" s="124">
        <f>J7*K7</f>
        <v>1.5</v>
      </c>
      <c r="N7">
        <f>SUMIF('SORTIES 2016'!$L$6:$L$370,B10,'SORTIES 2015'!$E$6:$K$370)</f>
        <v>0</v>
      </c>
    </row>
    <row r="8" spans="2:14" ht="14" thickBot="1">
      <c r="B8" s="17" t="s">
        <v>381</v>
      </c>
      <c r="C8" s="253">
        <v>42005</v>
      </c>
      <c r="D8" s="29">
        <v>42011</v>
      </c>
      <c r="E8" s="28" t="str">
        <f>CONCATENATE(TEXT(SUMIF('SORTIES 2015'!$K$6:$K$370,$B8,'SORTIES 2015'!$E$6:$E$370)+(SUMIF('SORTIES 2016'!$L$6:$L$370,B12,'SORTIES 2016'!$K$6:$K$370)),"000"),"/750")</f>
        <v>156/750</v>
      </c>
      <c r="F8" s="28"/>
      <c r="G8" s="27" t="s">
        <v>626</v>
      </c>
      <c r="I8" s="17" t="s">
        <v>450</v>
      </c>
      <c r="J8" s="211">
        <v>3</v>
      </c>
      <c r="K8" s="124">
        <v>0.75</v>
      </c>
      <c r="L8" s="124">
        <f t="shared" ref="L8:L11" si="0">J8*K8</f>
        <v>2.25</v>
      </c>
      <c r="N8">
        <f>SUMIF('SORTIES 2016'!$L$6:$L$370,B11,'SORTIES 2015'!$E$6:$K$370)</f>
        <v>0</v>
      </c>
    </row>
    <row r="9" spans="2:14" ht="14" thickBot="1">
      <c r="B9" s="17" t="s">
        <v>380</v>
      </c>
      <c r="C9" s="253">
        <v>42013</v>
      </c>
      <c r="D9" s="29">
        <v>42020</v>
      </c>
      <c r="E9" s="28" t="str">
        <f>CONCATENATE(TEXT(SUMIF('SORTIES 2015'!$K$6:$K$370,$B9,'SORTIES 2015'!$E$6:$E$370)+(SUMIF('SORTIES 2016'!$L$6:$L$370,B13,'SORTIES 2016'!$K$6:$K$370)),"000"),"/750")</f>
        <v>241/750</v>
      </c>
      <c r="F9" s="28"/>
      <c r="G9" s="27" t="s">
        <v>620</v>
      </c>
      <c r="I9" s="17" t="s">
        <v>450</v>
      </c>
      <c r="J9" s="211">
        <v>5</v>
      </c>
      <c r="K9" s="124">
        <v>0.75</v>
      </c>
      <c r="L9" s="124">
        <f t="shared" ref="L9" si="1">J9*K9</f>
        <v>3.75</v>
      </c>
      <c r="N9">
        <f>SUMIF('SORTIES 2016'!$L$6:$L$370,B12,'SORTIES 2015'!$E$6:$K$370)</f>
        <v>0</v>
      </c>
    </row>
    <row r="10" spans="2:14" ht="14" thickBot="1">
      <c r="B10" s="17" t="s">
        <v>618</v>
      </c>
      <c r="C10" s="253">
        <v>42013</v>
      </c>
      <c r="D10" s="29">
        <v>42013</v>
      </c>
      <c r="E10" s="28" t="str">
        <f>CONCATENATE(TEXT(SUMIF('SORTIES 2015'!$K$6:$K$370,$B10,'SORTIES 2015'!$E$6:$E$370)+(SUMIF('SORTIES 2016'!$L$6:$L$370,B14,'SORTIES 2016'!$K$6:$K$370)),"000"),"/750")</f>
        <v>089/750</v>
      </c>
      <c r="F10" s="28"/>
      <c r="G10" s="27" t="s">
        <v>621</v>
      </c>
      <c r="I10" s="17" t="s">
        <v>451</v>
      </c>
      <c r="J10" s="211">
        <v>2</v>
      </c>
      <c r="K10" s="124">
        <v>0.5</v>
      </c>
      <c r="L10" s="124">
        <f t="shared" si="0"/>
        <v>1</v>
      </c>
      <c r="N10">
        <f>SUMIF('SORTIES 2016'!$L$6:$L$370,B13,'SORTIES 2015'!$E$6:$K$370)</f>
        <v>0</v>
      </c>
    </row>
    <row r="11" spans="2:14" ht="14" thickBot="1">
      <c r="B11" s="17" t="s">
        <v>477</v>
      </c>
      <c r="C11" s="253">
        <v>42164</v>
      </c>
      <c r="D11" s="29">
        <v>42166</v>
      </c>
      <c r="E11" s="28" t="str">
        <f>CONCATENATE(TEXT(SUMIF('SORTIES 2015'!$K$6:$K$370,$B11,'SORTIES 2015'!$E$6:$E$370)+(SUMIF('SORTIES 2016'!$L$6:$L$370,B15,'SORTIES 2016'!$K$6:$K$370)),"000"),"/750")</f>
        <v>370/750</v>
      </c>
      <c r="F11" s="29">
        <v>42244</v>
      </c>
      <c r="G11" s="255" t="s">
        <v>625</v>
      </c>
      <c r="I11" s="17" t="s">
        <v>450</v>
      </c>
      <c r="J11" s="211">
        <v>2</v>
      </c>
      <c r="K11" s="124">
        <v>0.75</v>
      </c>
      <c r="L11" s="124">
        <f t="shared" si="0"/>
        <v>1.5</v>
      </c>
      <c r="N11">
        <f>SUMIF('SORTIES 2016'!$L$6:$L$370,B11,'SORTIES 2016'!$K$6:$K$370)</f>
        <v>0</v>
      </c>
    </row>
    <row r="12" spans="2:14" ht="14" thickBot="1">
      <c r="B12" s="17" t="s">
        <v>560</v>
      </c>
      <c r="C12" s="253">
        <v>42265</v>
      </c>
      <c r="D12" s="29"/>
      <c r="E12" s="28" t="str">
        <f>CONCATENATE(TEXT(SUMIF('SORTIES 2015'!$K$6:$K$370,$B12,'SORTIES 2015'!$E$6:$E$370)+(SUMIF('SORTIES 2016'!$L$6:$L$370,B16,'SORTIES 2016'!$K$6:$K$370)),"000"),"/750")</f>
        <v>009/750</v>
      </c>
      <c r="F12" s="29"/>
      <c r="G12" s="255" t="s">
        <v>624</v>
      </c>
      <c r="I12" s="232"/>
      <c r="J12" s="233"/>
      <c r="K12" s="234"/>
      <c r="L12" s="234"/>
      <c r="N12">
        <f>SUMIF('SORTIES 2016'!$L$6:$L$370,B12,'SORTIES 2016'!$K$6:$K$370)</f>
        <v>0</v>
      </c>
    </row>
    <row r="13" spans="2:14" ht="14" thickBot="1">
      <c r="B13" s="17" t="s">
        <v>478</v>
      </c>
      <c r="C13" s="253">
        <v>42164</v>
      </c>
      <c r="D13" s="29">
        <v>42231</v>
      </c>
      <c r="E13" s="28" t="str">
        <f>CONCATENATE(TEXT(SUMIF('SORTIES 2015'!$K$6:$K$370,$B13,'SORTIES 2015'!$E$6:$E$370)+(SUMIF('SORTIES 2016'!$L$6:$L$370,B17,'SORTIES 2016'!$K$6:$K$370)),"000"),"/750")</f>
        <v>420/750</v>
      </c>
      <c r="F13" s="28"/>
      <c r="G13" s="27" t="s">
        <v>628</v>
      </c>
      <c r="N13">
        <f>SUMIF('SORTIES 2016'!$L$6:$L$370,B13,'SORTIES 2016'!$K$6:$K$370)</f>
        <v>0</v>
      </c>
    </row>
    <row r="14" spans="2:14" ht="14" thickBot="1">
      <c r="B14" s="17" t="s">
        <v>576</v>
      </c>
      <c r="C14" s="253">
        <v>42287</v>
      </c>
      <c r="D14" s="29">
        <v>42289</v>
      </c>
      <c r="E14" s="28" t="str">
        <f>CONCATENATE(TEXT(SUMIF('SORTIES 2015'!$K$6:$K$370,$B14,'SORTIES 2015'!$E$6:$E$370)+(SUMIF('SORTIES 2016'!$L$6:$L$370,B18,'SORTIES 2016'!$K$6:$K$370)),"000"),"/750")</f>
        <v>225/750</v>
      </c>
      <c r="F14" s="28"/>
      <c r="G14" s="27" t="s">
        <v>627</v>
      </c>
      <c r="I14" s="18" t="s">
        <v>455</v>
      </c>
      <c r="N14">
        <f>SUMIF('SORTIES 2016'!$L$6:$L$370,B14,'SORTIES 2016'!$K$6:$K$370)</f>
        <v>88.7</v>
      </c>
    </row>
    <row r="15" spans="2:14" ht="14" thickBot="1">
      <c r="B15" s="17" t="s">
        <v>623</v>
      </c>
      <c r="C15" s="253">
        <v>42317</v>
      </c>
      <c r="D15" s="29"/>
      <c r="E15" s="28" t="str">
        <f>CONCATENATE(TEXT(SUMIF('SORTIES 2015'!$K$6:$K$370,$B15,'SORTIES 2015'!$E$6:$E$370)+(SUMIF('SORTIES 2016'!$L$6:$L$370,B19,'SORTIES 2016'!$K$6:$K$370)),"000"),"/750")</f>
        <v>000/750</v>
      </c>
      <c r="F15" s="28"/>
      <c r="G15" s="27" t="s">
        <v>622</v>
      </c>
      <c r="N15">
        <f>SUMIF('SORTIES 2016'!$L$6:$L$370,B15,'SORTIES 2016'!$K$6:$K$370)</f>
        <v>0</v>
      </c>
    </row>
    <row r="16" spans="2:14" ht="14" thickBot="1">
      <c r="B16" s="17" t="s">
        <v>634</v>
      </c>
      <c r="C16" s="253">
        <v>42340</v>
      </c>
      <c r="D16" s="29">
        <v>42341</v>
      </c>
      <c r="E16" s="28" t="str">
        <f>CONCATENATE(TEXT(SUMIF('SORTIES 2015'!$K$6:$K$370,$B16,'SORTIES 2015'!$E$6:$E$370)+(SUMIF('SORTIES 2016'!$L$6:$L$370,B20,'SORTIES 2016'!$K$6:$K$370)),"000"),"/750")</f>
        <v>107/750</v>
      </c>
      <c r="F16" s="28"/>
      <c r="G16" s="27" t="s">
        <v>633</v>
      </c>
      <c r="N16">
        <f>SUMIF('SORTIES 2016'!$L$6:$L$370,B16,'SORTIES 2016'!$K$6:$K$370)</f>
        <v>9</v>
      </c>
    </row>
    <row r="17" spans="2:14" ht="14" thickBot="1">
      <c r="B17" s="17" t="s">
        <v>427</v>
      </c>
      <c r="C17" s="253">
        <v>42076</v>
      </c>
      <c r="D17" s="29">
        <v>42079</v>
      </c>
      <c r="E17" s="28" t="str">
        <f>CONCATENATE(TEXT(SUMIF('SORTIES 2015'!$K$6:$K$370,$B17,'SORTIES 2015'!$E$6:$E$370)+(SUMIF('SORTIES 2016'!$L$6:$L$370,B21,'SORTIES 2016'!$K$6:$K$370)),"000"),"/750")</f>
        <v>446/750</v>
      </c>
      <c r="F17" s="29">
        <v>42161</v>
      </c>
      <c r="G17" s="254"/>
      <c r="N17">
        <f>SUMIF('SORTIES 2016'!$L$6:$L$370,B17,'SORTIES 2016'!$K$6:$K$370)</f>
        <v>0</v>
      </c>
    </row>
    <row r="18" spans="2:14" ht="13" thickBot="1"/>
    <row r="19" spans="2:14" ht="13" thickBot="1">
      <c r="B19" s="425" t="s">
        <v>488</v>
      </c>
      <c r="C19" s="426"/>
      <c r="D19" s="426"/>
      <c r="E19" s="426"/>
      <c r="F19" s="426"/>
      <c r="G19" s="427"/>
    </row>
    <row r="20" spans="2:14" ht="13" thickBot="1"/>
    <row r="21" spans="2:14" ht="14" thickBot="1">
      <c r="B21" s="20" t="s">
        <v>378</v>
      </c>
      <c r="C21" s="199" t="s">
        <v>379</v>
      </c>
      <c r="D21" s="199" t="s">
        <v>383</v>
      </c>
      <c r="E21" s="199" t="s">
        <v>385</v>
      </c>
      <c r="F21" s="199" t="s">
        <v>473</v>
      </c>
      <c r="G21" s="250"/>
    </row>
    <row r="22" spans="2:14" ht="14" thickBot="1">
      <c r="B22" s="17" t="s">
        <v>489</v>
      </c>
      <c r="C22" s="200"/>
      <c r="D22" s="29"/>
      <c r="E22" s="28">
        <f>SUMIF('SORTIES 2015'!$O$6:$O$335,$B22,'SORTIES 2015'!$G$6:$G$335)</f>
        <v>1960.5</v>
      </c>
      <c r="F22" s="28"/>
      <c r="G22" s="250"/>
    </row>
    <row r="23" spans="2:14" ht="14" thickBot="1">
      <c r="B23" s="17" t="s">
        <v>487</v>
      </c>
      <c r="C23" s="200"/>
      <c r="D23" s="29"/>
      <c r="E23" s="28">
        <f>SUMIF('SORTIES 2015'!$O$6:$O$335,$B23,'SORTIES 2015'!$G$6:$G$335)</f>
        <v>86</v>
      </c>
      <c r="F23" s="28"/>
      <c r="G23" s="250"/>
    </row>
    <row r="24" spans="2:14" ht="14" thickBot="1">
      <c r="B24" s="232"/>
      <c r="C24" s="248"/>
      <c r="D24" s="249"/>
      <c r="E24" s="250"/>
      <c r="F24" s="250"/>
      <c r="G24" s="250"/>
    </row>
    <row r="25" spans="2:14" ht="14" thickBot="1">
      <c r="B25" s="20" t="s">
        <v>378</v>
      </c>
      <c r="C25" s="199" t="s">
        <v>379</v>
      </c>
      <c r="D25" s="199" t="s">
        <v>383</v>
      </c>
      <c r="E25" s="199" t="s">
        <v>385</v>
      </c>
      <c r="F25" s="199" t="s">
        <v>473</v>
      </c>
      <c r="G25" s="250"/>
    </row>
    <row r="26" spans="2:14" ht="14" thickBot="1">
      <c r="B26" s="17" t="s">
        <v>606</v>
      </c>
      <c r="C26" s="200" t="s">
        <v>607</v>
      </c>
      <c r="D26" s="251" t="s">
        <v>608</v>
      </c>
      <c r="E26" s="4" t="s">
        <v>609</v>
      </c>
      <c r="F26" s="4" t="s">
        <v>610</v>
      </c>
      <c r="G26" s="252"/>
    </row>
    <row r="27" spans="2:14">
      <c r="B27"/>
    </row>
    <row r="28" spans="2:14">
      <c r="B28"/>
    </row>
    <row r="29" spans="2:14">
      <c r="B29" s="18" t="s">
        <v>605</v>
      </c>
    </row>
    <row r="30" spans="2:14">
      <c r="B30" s="2">
        <v>42240</v>
      </c>
      <c r="D30" s="18" t="s">
        <v>528</v>
      </c>
    </row>
    <row r="31" spans="2:14">
      <c r="B31"/>
    </row>
    <row r="32" spans="2:14">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sheetData>
  <mergeCells count="4">
    <mergeCell ref="B2:L2"/>
    <mergeCell ref="I4:L4"/>
    <mergeCell ref="B4:G4"/>
    <mergeCell ref="B19:G1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16"/>
  <sheetViews>
    <sheetView showGridLines="0" workbookViewId="0">
      <selection activeCell="C64" sqref="C64"/>
    </sheetView>
  </sheetViews>
  <sheetFormatPr baseColWidth="10" defaultRowHeight="12" x14ac:dyDescent="0"/>
  <cols>
    <col min="1" max="1" width="2.6640625" customWidth="1"/>
    <col min="2" max="2" width="21.5" style="3" customWidth="1"/>
    <col min="3" max="3" width="12.5" customWidth="1"/>
    <col min="4" max="4" width="9.1640625" customWidth="1"/>
    <col min="5" max="5" width="19.83203125" bestFit="1" customWidth="1"/>
    <col min="6" max="6" width="16.1640625" bestFit="1" customWidth="1"/>
    <col min="7" max="7" width="5.6640625" customWidth="1"/>
    <col min="8" max="8" width="12.33203125" bestFit="1" customWidth="1"/>
    <col min="9" max="9" width="22.83203125" customWidth="1"/>
  </cols>
  <sheetData>
    <row r="1" spans="2:11" ht="13" thickBot="1"/>
    <row r="2" spans="2:11" ht="23" customHeight="1" thickBot="1">
      <c r="B2" s="398" t="s">
        <v>226</v>
      </c>
      <c r="C2" s="399"/>
      <c r="D2" s="399"/>
      <c r="E2" s="399"/>
      <c r="F2" s="399"/>
      <c r="G2" s="399"/>
      <c r="H2" s="399"/>
      <c r="I2" s="400"/>
    </row>
    <row r="3" spans="2:11" ht="13" thickBot="1">
      <c r="K3" s="2"/>
    </row>
    <row r="4" spans="2:11" ht="13" thickBot="1">
      <c r="B4" s="425" t="s">
        <v>227</v>
      </c>
      <c r="C4" s="427"/>
      <c r="E4" s="26" t="s">
        <v>228</v>
      </c>
      <c r="F4" s="119" t="s">
        <v>229</v>
      </c>
      <c r="H4" s="26" t="s">
        <v>230</v>
      </c>
      <c r="I4" s="119" t="s">
        <v>231</v>
      </c>
    </row>
    <row r="5" spans="2:11" ht="13" thickBot="1">
      <c r="E5" s="3"/>
      <c r="F5" s="3"/>
      <c r="H5" s="3"/>
    </row>
    <row r="6" spans="2:11" ht="13" thickBot="1">
      <c r="B6" s="26" t="s">
        <v>232</v>
      </c>
      <c r="C6" s="119" t="s">
        <v>233</v>
      </c>
      <c r="E6" s="26" t="s">
        <v>235</v>
      </c>
      <c r="F6" s="119">
        <v>24599</v>
      </c>
      <c r="H6" s="26" t="s">
        <v>234</v>
      </c>
      <c r="I6" s="120" t="str">
        <f ca="1">CONCATENATE(TEXT(TODAY()-$F$6,"aa"), " ans")</f>
        <v>aa ans</v>
      </c>
    </row>
    <row r="7" spans="2:11" ht="13" thickBot="1">
      <c r="E7" s="3"/>
      <c r="F7" s="3"/>
      <c r="H7" s="3"/>
    </row>
    <row r="8" spans="2:11" ht="13" thickBot="1">
      <c r="B8" s="26" t="s">
        <v>236</v>
      </c>
      <c r="C8" s="121">
        <v>181</v>
      </c>
    </row>
    <row r="9" spans="2:11" ht="13" thickBot="1">
      <c r="B9"/>
    </row>
    <row r="10" spans="2:11" ht="13" thickBot="1">
      <c r="B10" s="26" t="s">
        <v>237</v>
      </c>
      <c r="C10" s="121">
        <v>99.9</v>
      </c>
      <c r="E10" s="26" t="s">
        <v>238</v>
      </c>
      <c r="F10" s="119" t="s">
        <v>612</v>
      </c>
      <c r="H10" s="26" t="s">
        <v>243</v>
      </c>
      <c r="I10" s="120">
        <v>82</v>
      </c>
    </row>
    <row r="11" spans="2:11">
      <c r="B11" s="3" t="e">
        <f ca="1">CONCATENATE("Mesuré, il y a ",TEXT(TODAY()-$F$10,"0")," jours.")</f>
        <v>#VALUE!</v>
      </c>
    </row>
    <row r="12" spans="2:11" ht="13" thickBot="1">
      <c r="B12"/>
    </row>
    <row r="13" spans="2:11" ht="13" thickBot="1">
      <c r="B13" s="425" t="s">
        <v>239</v>
      </c>
      <c r="C13" s="427"/>
      <c r="E13" s="425" t="s">
        <v>242</v>
      </c>
      <c r="F13" s="426"/>
      <c r="G13" s="426"/>
      <c r="H13" s="426"/>
      <c r="I13" s="427"/>
    </row>
    <row r="14" spans="2:11" ht="13" thickBot="1">
      <c r="B14" s="26" t="s">
        <v>240</v>
      </c>
      <c r="C14" s="20" t="s">
        <v>241</v>
      </c>
    </row>
    <row r="15" spans="2:11" ht="13" thickBot="1">
      <c r="B15" s="29">
        <v>42037</v>
      </c>
      <c r="C15" s="28">
        <v>95.8</v>
      </c>
    </row>
    <row r="16" spans="2:11" ht="13" thickBot="1">
      <c r="B16" s="123">
        <f>B15+7</f>
        <v>42044</v>
      </c>
      <c r="C16" s="28">
        <v>94.6</v>
      </c>
      <c r="E16" s="18" t="s">
        <v>595</v>
      </c>
    </row>
    <row r="17" spans="2:3" ht="13" thickBot="1">
      <c r="B17" s="123">
        <v>42063</v>
      </c>
      <c r="C17" s="28">
        <v>94</v>
      </c>
    </row>
    <row r="18" spans="2:3" ht="13" thickBot="1">
      <c r="B18" s="123">
        <v>42071</v>
      </c>
      <c r="C18" s="28">
        <v>92.8</v>
      </c>
    </row>
    <row r="19" spans="2:3" ht="13" thickBot="1">
      <c r="B19" s="123">
        <v>42093</v>
      </c>
      <c r="C19" s="28"/>
    </row>
    <row r="20" spans="2:3" ht="13" thickBot="1">
      <c r="B20" s="123">
        <f t="shared" ref="B20:B83" si="0">B19+7</f>
        <v>42100</v>
      </c>
      <c r="C20" s="28"/>
    </row>
    <row r="21" spans="2:3" ht="13" thickBot="1">
      <c r="B21" s="123">
        <f t="shared" si="0"/>
        <v>42107</v>
      </c>
      <c r="C21" s="28"/>
    </row>
    <row r="22" spans="2:3" ht="13" thickBot="1">
      <c r="B22" s="123">
        <f t="shared" si="0"/>
        <v>42114</v>
      </c>
      <c r="C22" s="28">
        <v>99</v>
      </c>
    </row>
    <row r="23" spans="2:3" ht="13" thickBot="1">
      <c r="B23" s="123">
        <f t="shared" si="0"/>
        <v>42121</v>
      </c>
      <c r="C23" s="28"/>
    </row>
    <row r="24" spans="2:3" ht="13" thickBot="1">
      <c r="B24" s="123">
        <f t="shared" si="0"/>
        <v>42128</v>
      </c>
      <c r="C24" s="28"/>
    </row>
    <row r="25" spans="2:3" ht="13" thickBot="1">
      <c r="B25" s="123">
        <f t="shared" si="0"/>
        <v>42135</v>
      </c>
      <c r="C25" s="28"/>
    </row>
    <row r="26" spans="2:3" ht="13" thickBot="1">
      <c r="B26" s="123">
        <f t="shared" si="0"/>
        <v>42142</v>
      </c>
      <c r="C26" s="28"/>
    </row>
    <row r="27" spans="2:3" ht="13" thickBot="1">
      <c r="B27" s="123">
        <f t="shared" si="0"/>
        <v>42149</v>
      </c>
      <c r="C27" s="28">
        <v>96</v>
      </c>
    </row>
    <row r="28" spans="2:3" ht="13" thickBot="1">
      <c r="B28" s="123">
        <f t="shared" si="0"/>
        <v>42156</v>
      </c>
      <c r="C28" s="28"/>
    </row>
    <row r="29" spans="2:3" ht="13" thickBot="1">
      <c r="B29" s="123">
        <f t="shared" si="0"/>
        <v>42163</v>
      </c>
      <c r="C29" s="28"/>
    </row>
    <row r="30" spans="2:3" ht="13" thickBot="1">
      <c r="B30" s="123">
        <f t="shared" si="0"/>
        <v>42170</v>
      </c>
      <c r="C30" s="28"/>
    </row>
    <row r="31" spans="2:3" ht="13" thickBot="1">
      <c r="B31" s="123">
        <f t="shared" si="0"/>
        <v>42177</v>
      </c>
      <c r="C31" s="28"/>
    </row>
    <row r="32" spans="2:3" ht="13" thickBot="1">
      <c r="B32" s="123">
        <f t="shared" si="0"/>
        <v>42184</v>
      </c>
      <c r="C32" s="28"/>
    </row>
    <row r="33" spans="2:4" ht="13" thickBot="1">
      <c r="B33" s="123">
        <f t="shared" si="0"/>
        <v>42191</v>
      </c>
      <c r="C33" s="28"/>
    </row>
    <row r="34" spans="2:4" ht="13" thickBot="1">
      <c r="B34" s="123">
        <f t="shared" si="0"/>
        <v>42198</v>
      </c>
      <c r="C34" s="28"/>
    </row>
    <row r="35" spans="2:4" ht="13" thickBot="1">
      <c r="B35" s="123">
        <f t="shared" si="0"/>
        <v>42205</v>
      </c>
      <c r="C35" s="28">
        <v>97</v>
      </c>
    </row>
    <row r="36" spans="2:4" ht="13" thickBot="1">
      <c r="B36" s="123">
        <f t="shared" si="0"/>
        <v>42212</v>
      </c>
      <c r="C36" s="28">
        <v>93</v>
      </c>
    </row>
    <row r="37" spans="2:4" ht="13" thickBot="1">
      <c r="B37" s="123">
        <f t="shared" si="0"/>
        <v>42219</v>
      </c>
      <c r="C37" s="28">
        <v>93</v>
      </c>
    </row>
    <row r="38" spans="2:4" ht="13" thickBot="1">
      <c r="B38" s="123">
        <f t="shared" si="0"/>
        <v>42226</v>
      </c>
      <c r="C38" s="28">
        <v>93</v>
      </c>
    </row>
    <row r="39" spans="2:4" ht="13" thickBot="1">
      <c r="B39" s="123">
        <f t="shared" si="0"/>
        <v>42233</v>
      </c>
      <c r="C39" s="28">
        <v>93</v>
      </c>
    </row>
    <row r="40" spans="2:4" ht="13" thickBot="1">
      <c r="B40" s="123">
        <f t="shared" si="0"/>
        <v>42240</v>
      </c>
      <c r="C40" s="28">
        <v>93</v>
      </c>
    </row>
    <row r="41" spans="2:4" ht="13" thickBot="1">
      <c r="B41" s="123">
        <f t="shared" si="0"/>
        <v>42247</v>
      </c>
      <c r="C41" s="28">
        <v>93</v>
      </c>
    </row>
    <row r="42" spans="2:4" ht="13" thickBot="1">
      <c r="B42" s="123">
        <f t="shared" si="0"/>
        <v>42254</v>
      </c>
      <c r="C42" s="28">
        <v>93</v>
      </c>
    </row>
    <row r="43" spans="2:4" ht="13" thickBot="1">
      <c r="B43" s="123">
        <f t="shared" si="0"/>
        <v>42261</v>
      </c>
      <c r="C43" s="28">
        <v>97</v>
      </c>
      <c r="D43" s="231">
        <v>42258</v>
      </c>
    </row>
    <row r="44" spans="2:4" ht="13" thickBot="1">
      <c r="B44" s="123">
        <f t="shared" si="0"/>
        <v>42268</v>
      </c>
      <c r="C44" s="28"/>
    </row>
    <row r="45" spans="2:4" ht="13" thickBot="1">
      <c r="B45" s="123">
        <f t="shared" si="0"/>
        <v>42275</v>
      </c>
      <c r="C45" s="28"/>
    </row>
    <row r="46" spans="2:4" ht="13" thickBot="1">
      <c r="B46" s="123">
        <f t="shared" si="0"/>
        <v>42282</v>
      </c>
      <c r="C46" s="28"/>
    </row>
    <row r="47" spans="2:4" ht="13" thickBot="1">
      <c r="B47" s="123">
        <f t="shared" si="0"/>
        <v>42289</v>
      </c>
      <c r="C47" s="28"/>
    </row>
    <row r="48" spans="2:4" ht="13" thickBot="1">
      <c r="B48" s="123">
        <f t="shared" si="0"/>
        <v>42296</v>
      </c>
      <c r="C48" s="28"/>
    </row>
    <row r="49" spans="2:3" ht="13" thickBot="1">
      <c r="B49" s="123">
        <f t="shared" si="0"/>
        <v>42303</v>
      </c>
      <c r="C49" s="28"/>
    </row>
    <row r="50" spans="2:3" ht="13" thickBot="1">
      <c r="B50" s="123">
        <f t="shared" si="0"/>
        <v>42310</v>
      </c>
      <c r="C50" s="28"/>
    </row>
    <row r="51" spans="2:3" ht="13" thickBot="1">
      <c r="B51" s="123">
        <f t="shared" si="0"/>
        <v>42317</v>
      </c>
      <c r="C51" s="28"/>
    </row>
    <row r="52" spans="2:3" ht="13" thickBot="1">
      <c r="B52" s="123">
        <f t="shared" si="0"/>
        <v>42324</v>
      </c>
      <c r="C52" s="28"/>
    </row>
    <row r="53" spans="2:3" ht="13" thickBot="1">
      <c r="B53" s="123">
        <f t="shared" si="0"/>
        <v>42331</v>
      </c>
      <c r="C53" s="28">
        <v>99.9</v>
      </c>
    </row>
    <row r="54" spans="2:3" ht="13" thickBot="1">
      <c r="B54" s="123">
        <f t="shared" si="0"/>
        <v>42338</v>
      </c>
      <c r="C54" s="28"/>
    </row>
    <row r="55" spans="2:3" ht="13" thickBot="1">
      <c r="B55" s="123">
        <f t="shared" si="0"/>
        <v>42345</v>
      </c>
      <c r="C55" s="28"/>
    </row>
    <row r="56" spans="2:3" ht="13" thickBot="1">
      <c r="B56" s="123">
        <f t="shared" si="0"/>
        <v>42352</v>
      </c>
      <c r="C56" s="28"/>
    </row>
    <row r="57" spans="2:3" ht="13" thickBot="1">
      <c r="B57" s="123">
        <f t="shared" si="0"/>
        <v>42359</v>
      </c>
      <c r="C57" s="28"/>
    </row>
    <row r="58" spans="2:3" ht="13" thickBot="1">
      <c r="B58" s="123">
        <f t="shared" si="0"/>
        <v>42366</v>
      </c>
      <c r="C58" s="28"/>
    </row>
    <row r="59" spans="2:3" ht="13" thickBot="1">
      <c r="B59" s="123">
        <f t="shared" si="0"/>
        <v>42373</v>
      </c>
      <c r="C59" s="28"/>
    </row>
    <row r="60" spans="2:3" ht="13" thickBot="1">
      <c r="B60" s="123">
        <f t="shared" si="0"/>
        <v>42380</v>
      </c>
      <c r="C60" s="28"/>
    </row>
    <row r="61" spans="2:3" ht="13" thickBot="1">
      <c r="B61" s="123">
        <f t="shared" si="0"/>
        <v>42387</v>
      </c>
      <c r="C61" s="28"/>
    </row>
    <row r="62" spans="2:3" ht="13" thickBot="1">
      <c r="B62" s="123">
        <f t="shared" si="0"/>
        <v>42394</v>
      </c>
      <c r="C62" s="28"/>
    </row>
    <row r="63" spans="2:3" ht="13" thickBot="1">
      <c r="B63" s="123">
        <f t="shared" si="0"/>
        <v>42401</v>
      </c>
      <c r="C63" s="28">
        <v>98.3</v>
      </c>
    </row>
    <row r="64" spans="2:3" ht="13" thickBot="1">
      <c r="B64" s="123">
        <f t="shared" si="0"/>
        <v>42408</v>
      </c>
      <c r="C64" s="28"/>
    </row>
    <row r="65" spans="2:3" ht="13" thickBot="1">
      <c r="B65" s="123">
        <f t="shared" si="0"/>
        <v>42415</v>
      </c>
      <c r="C65" s="28"/>
    </row>
    <row r="66" spans="2:3" ht="13" thickBot="1">
      <c r="B66" s="123">
        <f t="shared" si="0"/>
        <v>42422</v>
      </c>
      <c r="C66" s="28"/>
    </row>
    <row r="67" spans="2:3" ht="13" thickBot="1">
      <c r="B67" s="123">
        <f t="shared" si="0"/>
        <v>42429</v>
      </c>
      <c r="C67" s="28"/>
    </row>
    <row r="68" spans="2:3" ht="13" thickBot="1">
      <c r="B68" s="123">
        <f t="shared" si="0"/>
        <v>42436</v>
      </c>
      <c r="C68" s="28"/>
    </row>
    <row r="69" spans="2:3" ht="13" thickBot="1">
      <c r="B69" s="123">
        <f t="shared" si="0"/>
        <v>42443</v>
      </c>
      <c r="C69" s="28"/>
    </row>
    <row r="70" spans="2:3" ht="13" thickBot="1">
      <c r="B70" s="123">
        <f t="shared" si="0"/>
        <v>42450</v>
      </c>
      <c r="C70" s="28"/>
    </row>
    <row r="71" spans="2:3" ht="13" thickBot="1">
      <c r="B71" s="123">
        <f t="shared" si="0"/>
        <v>42457</v>
      </c>
      <c r="C71" s="28"/>
    </row>
    <row r="72" spans="2:3" ht="13" thickBot="1">
      <c r="B72" s="123">
        <f t="shared" si="0"/>
        <v>42464</v>
      </c>
      <c r="C72" s="28"/>
    </row>
    <row r="73" spans="2:3" ht="13" thickBot="1">
      <c r="B73" s="123">
        <f t="shared" si="0"/>
        <v>42471</v>
      </c>
      <c r="C73" s="28"/>
    </row>
    <row r="74" spans="2:3" ht="13" thickBot="1">
      <c r="B74" s="123">
        <f t="shared" si="0"/>
        <v>42478</v>
      </c>
      <c r="C74" s="28"/>
    </row>
    <row r="75" spans="2:3" ht="13" thickBot="1">
      <c r="B75" s="123">
        <f t="shared" si="0"/>
        <v>42485</v>
      </c>
      <c r="C75" s="28"/>
    </row>
    <row r="76" spans="2:3" ht="13" thickBot="1">
      <c r="B76" s="123">
        <f t="shared" si="0"/>
        <v>42492</v>
      </c>
      <c r="C76" s="28"/>
    </row>
    <row r="77" spans="2:3" ht="13" thickBot="1">
      <c r="B77" s="123">
        <f t="shared" si="0"/>
        <v>42499</v>
      </c>
      <c r="C77" s="28"/>
    </row>
    <row r="78" spans="2:3" ht="13" thickBot="1">
      <c r="B78" s="123">
        <f t="shared" si="0"/>
        <v>42506</v>
      </c>
      <c r="C78" s="28"/>
    </row>
    <row r="79" spans="2:3" ht="13" thickBot="1">
      <c r="B79" s="123">
        <f t="shared" si="0"/>
        <v>42513</v>
      </c>
      <c r="C79" s="28"/>
    </row>
    <row r="80" spans="2:3" ht="13" thickBot="1">
      <c r="B80" s="123">
        <f t="shared" si="0"/>
        <v>42520</v>
      </c>
      <c r="C80" s="28"/>
    </row>
    <row r="81" spans="2:3" ht="13" thickBot="1">
      <c r="B81" s="123">
        <f t="shared" si="0"/>
        <v>42527</v>
      </c>
      <c r="C81" s="28"/>
    </row>
    <row r="82" spans="2:3" ht="13" thickBot="1">
      <c r="B82" s="123">
        <f t="shared" si="0"/>
        <v>42534</v>
      </c>
      <c r="C82" s="28"/>
    </row>
    <row r="83" spans="2:3" ht="13" thickBot="1">
      <c r="B83" s="123">
        <f t="shared" si="0"/>
        <v>42541</v>
      </c>
      <c r="C83" s="28"/>
    </row>
    <row r="84" spans="2:3" ht="13" thickBot="1">
      <c r="B84" s="123">
        <f t="shared" ref="B84:B147" si="1">B83+7</f>
        <v>42548</v>
      </c>
      <c r="C84" s="28"/>
    </row>
    <row r="85" spans="2:3" ht="13" thickBot="1">
      <c r="B85" s="123">
        <f t="shared" si="1"/>
        <v>42555</v>
      </c>
      <c r="C85" s="28"/>
    </row>
    <row r="86" spans="2:3" ht="13" thickBot="1">
      <c r="B86" s="123">
        <f t="shared" si="1"/>
        <v>42562</v>
      </c>
      <c r="C86" s="28"/>
    </row>
    <row r="87" spans="2:3" ht="13" thickBot="1">
      <c r="B87" s="123">
        <f t="shared" si="1"/>
        <v>42569</v>
      </c>
      <c r="C87" s="28"/>
    </row>
    <row r="88" spans="2:3" ht="13" thickBot="1">
      <c r="B88" s="123">
        <f t="shared" si="1"/>
        <v>42576</v>
      </c>
      <c r="C88" s="28"/>
    </row>
    <row r="89" spans="2:3" ht="13" thickBot="1">
      <c r="B89" s="123">
        <f t="shared" si="1"/>
        <v>42583</v>
      </c>
      <c r="C89" s="28"/>
    </row>
    <row r="90" spans="2:3" ht="13" thickBot="1">
      <c r="B90" s="123">
        <f t="shared" si="1"/>
        <v>42590</v>
      </c>
      <c r="C90" s="28"/>
    </row>
    <row r="91" spans="2:3" ht="13" thickBot="1">
      <c r="B91" s="123">
        <f t="shared" si="1"/>
        <v>42597</v>
      </c>
      <c r="C91" s="28"/>
    </row>
    <row r="92" spans="2:3" ht="13" thickBot="1">
      <c r="B92" s="123">
        <f t="shared" si="1"/>
        <v>42604</v>
      </c>
      <c r="C92" s="28"/>
    </row>
    <row r="93" spans="2:3" ht="13" thickBot="1">
      <c r="B93" s="123">
        <f t="shared" si="1"/>
        <v>42611</v>
      </c>
      <c r="C93" s="28"/>
    </row>
    <row r="94" spans="2:3" ht="13" thickBot="1">
      <c r="B94" s="123">
        <f t="shared" si="1"/>
        <v>42618</v>
      </c>
      <c r="C94" s="28"/>
    </row>
    <row r="95" spans="2:3" ht="13" thickBot="1">
      <c r="B95" s="123">
        <f t="shared" si="1"/>
        <v>42625</v>
      </c>
      <c r="C95" s="28"/>
    </row>
    <row r="96" spans="2:3" ht="13" thickBot="1">
      <c r="B96" s="123">
        <f t="shared" si="1"/>
        <v>42632</v>
      </c>
      <c r="C96" s="28"/>
    </row>
    <row r="97" spans="2:3" ht="13" thickBot="1">
      <c r="B97" s="123">
        <f t="shared" si="1"/>
        <v>42639</v>
      </c>
      <c r="C97" s="28"/>
    </row>
    <row r="98" spans="2:3" ht="13" thickBot="1">
      <c r="B98" s="123">
        <f t="shared" si="1"/>
        <v>42646</v>
      </c>
      <c r="C98" s="28"/>
    </row>
    <row r="99" spans="2:3" ht="13" thickBot="1">
      <c r="B99" s="123">
        <f t="shared" si="1"/>
        <v>42653</v>
      </c>
      <c r="C99" s="28"/>
    </row>
    <row r="100" spans="2:3" ht="13" thickBot="1">
      <c r="B100" s="123">
        <f t="shared" si="1"/>
        <v>42660</v>
      </c>
      <c r="C100" s="28"/>
    </row>
    <row r="101" spans="2:3" ht="13" thickBot="1">
      <c r="B101" s="123">
        <f t="shared" si="1"/>
        <v>42667</v>
      </c>
      <c r="C101" s="28"/>
    </row>
    <row r="102" spans="2:3" ht="13" thickBot="1">
      <c r="B102" s="123">
        <f t="shared" si="1"/>
        <v>42674</v>
      </c>
      <c r="C102" s="28"/>
    </row>
    <row r="103" spans="2:3" ht="13" thickBot="1">
      <c r="B103" s="123">
        <f t="shared" si="1"/>
        <v>42681</v>
      </c>
      <c r="C103" s="28"/>
    </row>
    <row r="104" spans="2:3" ht="13" thickBot="1">
      <c r="B104" s="123">
        <f t="shared" si="1"/>
        <v>42688</v>
      </c>
      <c r="C104" s="28"/>
    </row>
    <row r="105" spans="2:3" ht="13" thickBot="1">
      <c r="B105" s="123">
        <f t="shared" si="1"/>
        <v>42695</v>
      </c>
      <c r="C105" s="28"/>
    </row>
    <row r="106" spans="2:3" ht="13" thickBot="1">
      <c r="B106" s="123">
        <f t="shared" si="1"/>
        <v>42702</v>
      </c>
      <c r="C106" s="28"/>
    </row>
    <row r="107" spans="2:3" ht="13" thickBot="1">
      <c r="B107" s="123">
        <f t="shared" si="1"/>
        <v>42709</v>
      </c>
      <c r="C107" s="28"/>
    </row>
    <row r="108" spans="2:3" ht="13" thickBot="1">
      <c r="B108" s="123">
        <f t="shared" si="1"/>
        <v>42716</v>
      </c>
      <c r="C108" s="28"/>
    </row>
    <row r="109" spans="2:3" ht="13" thickBot="1">
      <c r="B109" s="123">
        <f t="shared" si="1"/>
        <v>42723</v>
      </c>
      <c r="C109" s="28"/>
    </row>
    <row r="110" spans="2:3" ht="13" thickBot="1">
      <c r="B110" s="123">
        <f t="shared" si="1"/>
        <v>42730</v>
      </c>
      <c r="C110" s="28"/>
    </row>
    <row r="111" spans="2:3" ht="13" thickBot="1">
      <c r="B111" s="123">
        <f t="shared" si="1"/>
        <v>42737</v>
      </c>
      <c r="C111" s="28"/>
    </row>
    <row r="112" spans="2:3" ht="13" thickBot="1">
      <c r="B112" s="123">
        <f t="shared" si="1"/>
        <v>42744</v>
      </c>
      <c r="C112" s="28"/>
    </row>
    <row r="113" spans="2:3" ht="13" thickBot="1">
      <c r="B113" s="123">
        <f t="shared" si="1"/>
        <v>42751</v>
      </c>
      <c r="C113" s="28"/>
    </row>
    <row r="114" spans="2:3" ht="13" thickBot="1">
      <c r="B114" s="123">
        <f t="shared" si="1"/>
        <v>42758</v>
      </c>
      <c r="C114" s="28"/>
    </row>
    <row r="115" spans="2:3" ht="13" thickBot="1">
      <c r="B115" s="123">
        <f t="shared" si="1"/>
        <v>42765</v>
      </c>
      <c r="C115" s="28"/>
    </row>
    <row r="116" spans="2:3" ht="13" thickBot="1">
      <c r="B116" s="123">
        <f t="shared" si="1"/>
        <v>42772</v>
      </c>
      <c r="C116" s="28"/>
    </row>
    <row r="117" spans="2:3" ht="13" thickBot="1">
      <c r="B117" s="123">
        <f t="shared" si="1"/>
        <v>42779</v>
      </c>
      <c r="C117" s="28"/>
    </row>
    <row r="118" spans="2:3" ht="13" thickBot="1">
      <c r="B118" s="123">
        <f t="shared" si="1"/>
        <v>42786</v>
      </c>
      <c r="C118" s="28"/>
    </row>
    <row r="119" spans="2:3" ht="13" thickBot="1">
      <c r="B119" s="123">
        <f t="shared" si="1"/>
        <v>42793</v>
      </c>
      <c r="C119" s="28"/>
    </row>
    <row r="120" spans="2:3" ht="13" thickBot="1">
      <c r="B120" s="123">
        <f t="shared" si="1"/>
        <v>42800</v>
      </c>
      <c r="C120" s="28"/>
    </row>
    <row r="121" spans="2:3" ht="13" thickBot="1">
      <c r="B121" s="123">
        <f t="shared" si="1"/>
        <v>42807</v>
      </c>
      <c r="C121" s="28"/>
    </row>
    <row r="122" spans="2:3" ht="13" thickBot="1">
      <c r="B122" s="123">
        <f t="shared" si="1"/>
        <v>42814</v>
      </c>
      <c r="C122" s="28"/>
    </row>
    <row r="123" spans="2:3" ht="13" thickBot="1">
      <c r="B123" s="123">
        <f t="shared" si="1"/>
        <v>42821</v>
      </c>
      <c r="C123" s="28"/>
    </row>
    <row r="124" spans="2:3" ht="13" thickBot="1">
      <c r="B124" s="123">
        <f t="shared" si="1"/>
        <v>42828</v>
      </c>
      <c r="C124" s="28"/>
    </row>
    <row r="125" spans="2:3" ht="13" thickBot="1">
      <c r="B125" s="123">
        <f t="shared" si="1"/>
        <v>42835</v>
      </c>
      <c r="C125" s="28"/>
    </row>
    <row r="126" spans="2:3" ht="13" thickBot="1">
      <c r="B126" s="123">
        <f t="shared" si="1"/>
        <v>42842</v>
      </c>
      <c r="C126" s="28"/>
    </row>
    <row r="127" spans="2:3" ht="13" thickBot="1">
      <c r="B127" s="123">
        <f t="shared" si="1"/>
        <v>42849</v>
      </c>
      <c r="C127" s="28"/>
    </row>
    <row r="128" spans="2:3" ht="13" thickBot="1">
      <c r="B128" s="123">
        <f t="shared" si="1"/>
        <v>42856</v>
      </c>
      <c r="C128" s="28"/>
    </row>
    <row r="129" spans="2:3" ht="13" thickBot="1">
      <c r="B129" s="123">
        <f t="shared" si="1"/>
        <v>42863</v>
      </c>
      <c r="C129" s="28"/>
    </row>
    <row r="130" spans="2:3" ht="13" thickBot="1">
      <c r="B130" s="123">
        <f t="shared" si="1"/>
        <v>42870</v>
      </c>
      <c r="C130" s="28"/>
    </row>
    <row r="131" spans="2:3" ht="13" thickBot="1">
      <c r="B131" s="123">
        <f t="shared" si="1"/>
        <v>42877</v>
      </c>
      <c r="C131" s="28"/>
    </row>
    <row r="132" spans="2:3" ht="13" thickBot="1">
      <c r="B132" s="123">
        <f t="shared" si="1"/>
        <v>42884</v>
      </c>
      <c r="C132" s="28"/>
    </row>
    <row r="133" spans="2:3" ht="13" thickBot="1">
      <c r="B133" s="123">
        <f t="shared" si="1"/>
        <v>42891</v>
      </c>
      <c r="C133" s="28"/>
    </row>
    <row r="134" spans="2:3" ht="13" thickBot="1">
      <c r="B134" s="123">
        <f t="shared" si="1"/>
        <v>42898</v>
      </c>
      <c r="C134" s="28"/>
    </row>
    <row r="135" spans="2:3" ht="13" thickBot="1">
      <c r="B135" s="123">
        <f t="shared" si="1"/>
        <v>42905</v>
      </c>
      <c r="C135" s="28"/>
    </row>
    <row r="136" spans="2:3" ht="13" thickBot="1">
      <c r="B136" s="123">
        <f t="shared" si="1"/>
        <v>42912</v>
      </c>
      <c r="C136" s="28"/>
    </row>
    <row r="137" spans="2:3" ht="13" thickBot="1">
      <c r="B137" s="123">
        <f t="shared" si="1"/>
        <v>42919</v>
      </c>
      <c r="C137" s="28"/>
    </row>
    <row r="138" spans="2:3" ht="13" thickBot="1">
      <c r="B138" s="123">
        <f t="shared" si="1"/>
        <v>42926</v>
      </c>
      <c r="C138" s="28"/>
    </row>
    <row r="139" spans="2:3" ht="13" thickBot="1">
      <c r="B139" s="123">
        <f t="shared" si="1"/>
        <v>42933</v>
      </c>
      <c r="C139" s="28"/>
    </row>
    <row r="140" spans="2:3" ht="13" thickBot="1">
      <c r="B140" s="123">
        <f t="shared" si="1"/>
        <v>42940</v>
      </c>
      <c r="C140" s="28"/>
    </row>
    <row r="141" spans="2:3" ht="13" thickBot="1">
      <c r="B141" s="123">
        <f t="shared" si="1"/>
        <v>42947</v>
      </c>
      <c r="C141" s="28"/>
    </row>
    <row r="142" spans="2:3" ht="13" thickBot="1">
      <c r="B142" s="123">
        <f t="shared" si="1"/>
        <v>42954</v>
      </c>
      <c r="C142" s="28"/>
    </row>
    <row r="143" spans="2:3" ht="13" thickBot="1">
      <c r="B143" s="123">
        <f t="shared" si="1"/>
        <v>42961</v>
      </c>
      <c r="C143" s="28"/>
    </row>
    <row r="144" spans="2:3" ht="13" thickBot="1">
      <c r="B144" s="123">
        <f t="shared" si="1"/>
        <v>42968</v>
      </c>
      <c r="C144" s="28"/>
    </row>
    <row r="145" spans="2:3" ht="13" thickBot="1">
      <c r="B145" s="123">
        <f t="shared" si="1"/>
        <v>42975</v>
      </c>
      <c r="C145" s="28"/>
    </row>
    <row r="146" spans="2:3" ht="13" thickBot="1">
      <c r="B146" s="123">
        <f t="shared" si="1"/>
        <v>42982</v>
      </c>
      <c r="C146" s="28"/>
    </row>
    <row r="147" spans="2:3" ht="13" thickBot="1">
      <c r="B147" s="123">
        <f t="shared" si="1"/>
        <v>42989</v>
      </c>
      <c r="C147" s="28"/>
    </row>
    <row r="148" spans="2:3" ht="13" thickBot="1">
      <c r="B148" s="123">
        <f t="shared" ref="B148:B211" si="2">B147+7</f>
        <v>42996</v>
      </c>
      <c r="C148" s="28"/>
    </row>
    <row r="149" spans="2:3" ht="13" thickBot="1">
      <c r="B149" s="123">
        <f t="shared" si="2"/>
        <v>43003</v>
      </c>
      <c r="C149" s="28"/>
    </row>
    <row r="150" spans="2:3" ht="13" thickBot="1">
      <c r="B150" s="123">
        <f t="shared" si="2"/>
        <v>43010</v>
      </c>
      <c r="C150" s="28"/>
    </row>
    <row r="151" spans="2:3" ht="13" thickBot="1">
      <c r="B151" s="123">
        <f t="shared" si="2"/>
        <v>43017</v>
      </c>
      <c r="C151" s="28"/>
    </row>
    <row r="152" spans="2:3" ht="13" thickBot="1">
      <c r="B152" s="123">
        <f t="shared" si="2"/>
        <v>43024</v>
      </c>
      <c r="C152" s="28"/>
    </row>
    <row r="153" spans="2:3" ht="13" thickBot="1">
      <c r="B153" s="123">
        <f t="shared" si="2"/>
        <v>43031</v>
      </c>
      <c r="C153" s="28"/>
    </row>
    <row r="154" spans="2:3" ht="13" thickBot="1">
      <c r="B154" s="123">
        <f t="shared" si="2"/>
        <v>43038</v>
      </c>
      <c r="C154" s="28"/>
    </row>
    <row r="155" spans="2:3" ht="13" thickBot="1">
      <c r="B155" s="123">
        <f t="shared" si="2"/>
        <v>43045</v>
      </c>
      <c r="C155" s="28"/>
    </row>
    <row r="156" spans="2:3" ht="13" thickBot="1">
      <c r="B156" s="123">
        <f t="shared" si="2"/>
        <v>43052</v>
      </c>
      <c r="C156" s="28"/>
    </row>
    <row r="157" spans="2:3" ht="13" thickBot="1">
      <c r="B157" s="123">
        <f t="shared" si="2"/>
        <v>43059</v>
      </c>
      <c r="C157" s="28"/>
    </row>
    <row r="158" spans="2:3" ht="13" thickBot="1">
      <c r="B158" s="123">
        <f t="shared" si="2"/>
        <v>43066</v>
      </c>
      <c r="C158" s="28"/>
    </row>
    <row r="159" spans="2:3" ht="13" thickBot="1">
      <c r="B159" s="123">
        <f t="shared" si="2"/>
        <v>43073</v>
      </c>
      <c r="C159" s="28"/>
    </row>
    <row r="160" spans="2:3" ht="13" thickBot="1">
      <c r="B160" s="123">
        <f t="shared" si="2"/>
        <v>43080</v>
      </c>
      <c r="C160" s="28"/>
    </row>
    <row r="161" spans="2:3" ht="13" thickBot="1">
      <c r="B161" s="123">
        <f t="shared" si="2"/>
        <v>43087</v>
      </c>
      <c r="C161" s="28"/>
    </row>
    <row r="162" spans="2:3" ht="13" thickBot="1">
      <c r="B162" s="123">
        <f t="shared" si="2"/>
        <v>43094</v>
      </c>
      <c r="C162" s="28"/>
    </row>
    <row r="163" spans="2:3" ht="13" thickBot="1">
      <c r="B163" s="123">
        <f t="shared" si="2"/>
        <v>43101</v>
      </c>
      <c r="C163" s="28"/>
    </row>
    <row r="164" spans="2:3" ht="13" thickBot="1">
      <c r="B164" s="123">
        <f t="shared" si="2"/>
        <v>43108</v>
      </c>
      <c r="C164" s="28"/>
    </row>
    <row r="165" spans="2:3" ht="13" thickBot="1">
      <c r="B165" s="123">
        <f t="shared" si="2"/>
        <v>43115</v>
      </c>
      <c r="C165" s="28"/>
    </row>
    <row r="166" spans="2:3" ht="13" thickBot="1">
      <c r="B166" s="123">
        <f t="shared" si="2"/>
        <v>43122</v>
      </c>
      <c r="C166" s="28"/>
    </row>
    <row r="167" spans="2:3" ht="13" thickBot="1">
      <c r="B167" s="123">
        <f t="shared" si="2"/>
        <v>43129</v>
      </c>
      <c r="C167" s="28"/>
    </row>
    <row r="168" spans="2:3" ht="13" thickBot="1">
      <c r="B168" s="123">
        <f t="shared" si="2"/>
        <v>43136</v>
      </c>
      <c r="C168" s="28"/>
    </row>
    <row r="169" spans="2:3" ht="13" thickBot="1">
      <c r="B169" s="123">
        <f t="shared" si="2"/>
        <v>43143</v>
      </c>
      <c r="C169" s="28"/>
    </row>
    <row r="170" spans="2:3" ht="13" thickBot="1">
      <c r="B170" s="123">
        <f t="shared" si="2"/>
        <v>43150</v>
      </c>
      <c r="C170" s="28"/>
    </row>
    <row r="171" spans="2:3" ht="13" thickBot="1">
      <c r="B171" s="123">
        <f t="shared" si="2"/>
        <v>43157</v>
      </c>
      <c r="C171" s="28"/>
    </row>
    <row r="172" spans="2:3" ht="13" thickBot="1">
      <c r="B172" s="123">
        <f t="shared" si="2"/>
        <v>43164</v>
      </c>
      <c r="C172" s="28"/>
    </row>
    <row r="173" spans="2:3" ht="13" thickBot="1">
      <c r="B173" s="123">
        <f t="shared" si="2"/>
        <v>43171</v>
      </c>
      <c r="C173" s="28"/>
    </row>
    <row r="174" spans="2:3" ht="13" thickBot="1">
      <c r="B174" s="123">
        <f t="shared" si="2"/>
        <v>43178</v>
      </c>
      <c r="C174" s="28"/>
    </row>
    <row r="175" spans="2:3" ht="13" thickBot="1">
      <c r="B175" s="123">
        <f t="shared" si="2"/>
        <v>43185</v>
      </c>
      <c r="C175" s="28"/>
    </row>
    <row r="176" spans="2:3" ht="13" thickBot="1">
      <c r="B176" s="123">
        <f t="shared" si="2"/>
        <v>43192</v>
      </c>
      <c r="C176" s="28"/>
    </row>
    <row r="177" spans="2:3" ht="13" thickBot="1">
      <c r="B177" s="123">
        <f t="shared" si="2"/>
        <v>43199</v>
      </c>
      <c r="C177" s="28"/>
    </row>
    <row r="178" spans="2:3" ht="13" thickBot="1">
      <c r="B178" s="123">
        <f t="shared" si="2"/>
        <v>43206</v>
      </c>
      <c r="C178" s="28"/>
    </row>
    <row r="179" spans="2:3" ht="13" thickBot="1">
      <c r="B179" s="123">
        <f t="shared" si="2"/>
        <v>43213</v>
      </c>
      <c r="C179" s="28"/>
    </row>
    <row r="180" spans="2:3" ht="13" thickBot="1">
      <c r="B180" s="123">
        <f t="shared" si="2"/>
        <v>43220</v>
      </c>
      <c r="C180" s="28"/>
    </row>
    <row r="181" spans="2:3" ht="13" thickBot="1">
      <c r="B181" s="123">
        <f t="shared" si="2"/>
        <v>43227</v>
      </c>
      <c r="C181" s="28"/>
    </row>
    <row r="182" spans="2:3" ht="13" thickBot="1">
      <c r="B182" s="123">
        <f t="shared" si="2"/>
        <v>43234</v>
      </c>
      <c r="C182" s="28"/>
    </row>
    <row r="183" spans="2:3" ht="13" thickBot="1">
      <c r="B183" s="123">
        <f t="shared" si="2"/>
        <v>43241</v>
      </c>
      <c r="C183" s="28"/>
    </row>
    <row r="184" spans="2:3" ht="13" thickBot="1">
      <c r="B184" s="123">
        <f t="shared" si="2"/>
        <v>43248</v>
      </c>
      <c r="C184" s="28"/>
    </row>
    <row r="185" spans="2:3" ht="13" thickBot="1">
      <c r="B185" s="123">
        <f t="shared" si="2"/>
        <v>43255</v>
      </c>
      <c r="C185" s="28"/>
    </row>
    <row r="186" spans="2:3" ht="13" thickBot="1">
      <c r="B186" s="123">
        <f t="shared" si="2"/>
        <v>43262</v>
      </c>
      <c r="C186" s="28"/>
    </row>
    <row r="187" spans="2:3" ht="13" thickBot="1">
      <c r="B187" s="123">
        <f t="shared" si="2"/>
        <v>43269</v>
      </c>
      <c r="C187" s="28"/>
    </row>
    <row r="188" spans="2:3" ht="13" thickBot="1">
      <c r="B188" s="123">
        <f t="shared" si="2"/>
        <v>43276</v>
      </c>
      <c r="C188" s="28"/>
    </row>
    <row r="189" spans="2:3" ht="13" thickBot="1">
      <c r="B189" s="123">
        <f t="shared" si="2"/>
        <v>43283</v>
      </c>
      <c r="C189" s="28"/>
    </row>
    <row r="190" spans="2:3" ht="13" thickBot="1">
      <c r="B190" s="123">
        <f t="shared" si="2"/>
        <v>43290</v>
      </c>
      <c r="C190" s="28"/>
    </row>
    <row r="191" spans="2:3" ht="13" thickBot="1">
      <c r="B191" s="123">
        <f t="shared" si="2"/>
        <v>43297</v>
      </c>
      <c r="C191" s="28"/>
    </row>
    <row r="192" spans="2:3" ht="13" thickBot="1">
      <c r="B192" s="123">
        <f t="shared" si="2"/>
        <v>43304</v>
      </c>
      <c r="C192" s="28"/>
    </row>
    <row r="193" spans="2:3" ht="13" thickBot="1">
      <c r="B193" s="123">
        <f t="shared" si="2"/>
        <v>43311</v>
      </c>
      <c r="C193" s="28"/>
    </row>
    <row r="194" spans="2:3" ht="13" thickBot="1">
      <c r="B194" s="123">
        <f t="shared" si="2"/>
        <v>43318</v>
      </c>
      <c r="C194" s="28"/>
    </row>
    <row r="195" spans="2:3" ht="13" thickBot="1">
      <c r="B195" s="123">
        <f t="shared" si="2"/>
        <v>43325</v>
      </c>
      <c r="C195" s="28"/>
    </row>
    <row r="196" spans="2:3" ht="13" thickBot="1">
      <c r="B196" s="123">
        <f t="shared" si="2"/>
        <v>43332</v>
      </c>
      <c r="C196" s="28"/>
    </row>
    <row r="197" spans="2:3" ht="13" thickBot="1">
      <c r="B197" s="123">
        <f t="shared" si="2"/>
        <v>43339</v>
      </c>
      <c r="C197" s="28"/>
    </row>
    <row r="198" spans="2:3" ht="13" thickBot="1">
      <c r="B198" s="123">
        <f t="shared" si="2"/>
        <v>43346</v>
      </c>
      <c r="C198" s="28"/>
    </row>
    <row r="199" spans="2:3" ht="13" thickBot="1">
      <c r="B199" s="123">
        <f t="shared" si="2"/>
        <v>43353</v>
      </c>
      <c r="C199" s="28"/>
    </row>
    <row r="200" spans="2:3" ht="13" thickBot="1">
      <c r="B200" s="123">
        <f t="shared" si="2"/>
        <v>43360</v>
      </c>
      <c r="C200" s="28"/>
    </row>
    <row r="201" spans="2:3" ht="13" thickBot="1">
      <c r="B201" s="123">
        <f t="shared" si="2"/>
        <v>43367</v>
      </c>
      <c r="C201" s="28"/>
    </row>
    <row r="202" spans="2:3" ht="13" thickBot="1">
      <c r="B202" s="123">
        <f t="shared" si="2"/>
        <v>43374</v>
      </c>
      <c r="C202" s="28"/>
    </row>
    <row r="203" spans="2:3" ht="13" thickBot="1">
      <c r="B203" s="123">
        <f t="shared" si="2"/>
        <v>43381</v>
      </c>
      <c r="C203" s="28"/>
    </row>
    <row r="204" spans="2:3" ht="13" thickBot="1">
      <c r="B204" s="123">
        <f t="shared" si="2"/>
        <v>43388</v>
      </c>
      <c r="C204" s="28"/>
    </row>
    <row r="205" spans="2:3" ht="13" thickBot="1">
      <c r="B205" s="123">
        <f t="shared" si="2"/>
        <v>43395</v>
      </c>
      <c r="C205" s="28"/>
    </row>
    <row r="206" spans="2:3" ht="13" thickBot="1">
      <c r="B206" s="123">
        <f t="shared" si="2"/>
        <v>43402</v>
      </c>
      <c r="C206" s="28"/>
    </row>
    <row r="207" spans="2:3" ht="13" thickBot="1">
      <c r="B207" s="123">
        <f t="shared" si="2"/>
        <v>43409</v>
      </c>
      <c r="C207" s="28"/>
    </row>
    <row r="208" spans="2:3" ht="13" thickBot="1">
      <c r="B208" s="123">
        <f t="shared" si="2"/>
        <v>43416</v>
      </c>
      <c r="C208" s="28"/>
    </row>
    <row r="209" spans="2:3" ht="13" thickBot="1">
      <c r="B209" s="123">
        <f t="shared" si="2"/>
        <v>43423</v>
      </c>
      <c r="C209" s="28"/>
    </row>
    <row r="210" spans="2:3" ht="13" thickBot="1">
      <c r="B210" s="123">
        <f t="shared" si="2"/>
        <v>43430</v>
      </c>
      <c r="C210" s="28"/>
    </row>
    <row r="211" spans="2:3" ht="13" thickBot="1">
      <c r="B211" s="123">
        <f t="shared" si="2"/>
        <v>43437</v>
      </c>
      <c r="C211" s="28"/>
    </row>
    <row r="212" spans="2:3" ht="13" thickBot="1">
      <c r="B212" s="123">
        <f t="shared" ref="B212:B216" si="3">B211+7</f>
        <v>43444</v>
      </c>
      <c r="C212" s="28"/>
    </row>
    <row r="213" spans="2:3" ht="13" thickBot="1">
      <c r="B213" s="123">
        <f t="shared" si="3"/>
        <v>43451</v>
      </c>
      <c r="C213" s="28"/>
    </row>
    <row r="214" spans="2:3" ht="13" thickBot="1">
      <c r="B214" s="123">
        <f t="shared" si="3"/>
        <v>43458</v>
      </c>
      <c r="C214" s="28"/>
    </row>
    <row r="215" spans="2:3" ht="13" thickBot="1">
      <c r="B215" s="123">
        <f t="shared" si="3"/>
        <v>43465</v>
      </c>
      <c r="C215" s="28"/>
    </row>
    <row r="216" spans="2:3" ht="13" thickBot="1">
      <c r="B216" s="123">
        <f t="shared" si="3"/>
        <v>43472</v>
      </c>
      <c r="C216" s="28"/>
    </row>
  </sheetData>
  <mergeCells count="4">
    <mergeCell ref="B2:I2"/>
    <mergeCell ref="B4:C4"/>
    <mergeCell ref="B13:C13"/>
    <mergeCell ref="E13:I1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2"/>
  <sheetViews>
    <sheetView showGridLines="0" workbookViewId="0">
      <selection activeCell="B14" sqref="B14"/>
    </sheetView>
  </sheetViews>
  <sheetFormatPr baseColWidth="10" defaultRowHeight="12" x14ac:dyDescent="0"/>
  <cols>
    <col min="1" max="1" width="2.6640625" customWidth="1"/>
    <col min="2" max="2" width="21.5" style="3" customWidth="1"/>
    <col min="3" max="3" width="12.5" customWidth="1"/>
    <col min="4" max="4" width="5" customWidth="1"/>
    <col min="5" max="5" width="19.83203125" bestFit="1" customWidth="1"/>
    <col min="6" max="6" width="13.1640625" bestFit="1" customWidth="1"/>
    <col min="7" max="7" width="5.6640625" customWidth="1"/>
    <col min="8" max="8" width="12.33203125" bestFit="1" customWidth="1"/>
    <col min="9" max="9" width="22.83203125" customWidth="1"/>
  </cols>
  <sheetData>
    <row r="1" spans="2:11" ht="13" thickBot="1"/>
    <row r="2" spans="2:11" ht="23" customHeight="1" thickBot="1">
      <c r="B2" s="398" t="s">
        <v>244</v>
      </c>
      <c r="C2" s="399"/>
      <c r="D2" s="399"/>
      <c r="E2" s="399"/>
      <c r="F2" s="399"/>
      <c r="G2" s="399"/>
      <c r="H2" s="399"/>
      <c r="I2" s="400"/>
    </row>
    <row r="3" spans="2:11" ht="13" thickBot="1">
      <c r="K3" s="2"/>
    </row>
    <row r="4" spans="2:11" ht="13" thickBot="1">
      <c r="B4" s="425" t="s">
        <v>227</v>
      </c>
      <c r="C4" s="427"/>
      <c r="E4" s="226" t="s">
        <v>228</v>
      </c>
      <c r="F4" s="119" t="s">
        <v>229</v>
      </c>
      <c r="H4" s="226" t="s">
        <v>230</v>
      </c>
      <c r="I4" s="119" t="s">
        <v>231</v>
      </c>
    </row>
    <row r="5" spans="2:11" ht="13" thickBot="1">
      <c r="E5" s="3"/>
      <c r="F5" s="3"/>
      <c r="H5" s="3"/>
    </row>
    <row r="6" spans="2:11" ht="13" thickBot="1">
      <c r="B6" s="226" t="s">
        <v>232</v>
      </c>
      <c r="C6" s="119" t="s">
        <v>233</v>
      </c>
      <c r="E6" s="226" t="s">
        <v>235</v>
      </c>
      <c r="F6" s="119">
        <v>24599</v>
      </c>
      <c r="H6" s="226" t="s">
        <v>234</v>
      </c>
      <c r="I6" s="120" t="str">
        <f ca="1">CONCATENATE(TEXT(TODAY()-$F$6,"aa"), " ans")</f>
        <v>aa ans</v>
      </c>
    </row>
    <row r="7" spans="2:11" ht="13" thickBot="1">
      <c r="E7" s="3"/>
      <c r="F7" s="3"/>
      <c r="H7" s="3"/>
    </row>
    <row r="8" spans="2:11" ht="13" thickBot="1">
      <c r="B8" s="226" t="s">
        <v>236</v>
      </c>
      <c r="C8" s="121">
        <v>181</v>
      </c>
    </row>
    <row r="9" spans="2:11" ht="13" thickBot="1">
      <c r="B9"/>
    </row>
    <row r="10" spans="2:11" ht="13" thickBot="1">
      <c r="B10" s="226" t="s">
        <v>237</v>
      </c>
      <c r="C10" s="121">
        <v>93</v>
      </c>
      <c r="E10" s="226" t="s">
        <v>238</v>
      </c>
      <c r="F10" s="119">
        <v>42028</v>
      </c>
      <c r="H10" s="226" t="s">
        <v>243</v>
      </c>
      <c r="I10" s="120">
        <v>82</v>
      </c>
    </row>
    <row r="11" spans="2:11">
      <c r="B11" s="3" t="str">
        <f ca="1">CONCATENATE("Mesuré, il y a ",TEXT(TODAY()-$F$10,"0")," jours.")</f>
        <v>Mesuré, il y a 362 jours.</v>
      </c>
    </row>
    <row r="12" spans="2:11" ht="13" thickBot="1">
      <c r="B12"/>
    </row>
    <row r="13" spans="2:11" ht="13" thickBot="1">
      <c r="B13" s="226" t="s">
        <v>512</v>
      </c>
      <c r="C13" s="121" t="s">
        <v>513</v>
      </c>
    </row>
    <row r="14" spans="2:11">
      <c r="B14"/>
    </row>
    <row r="15" spans="2:11">
      <c r="B15"/>
    </row>
    <row r="16" spans="2:11">
      <c r="B16"/>
    </row>
    <row r="17" spans="2:2" ht="13" customHeight="1">
      <c r="B17"/>
    </row>
    <row r="18" spans="2:2">
      <c r="B18"/>
    </row>
    <row r="19" spans="2:2" ht="13" customHeight="1">
      <c r="B19"/>
    </row>
    <row r="20" spans="2:2">
      <c r="B20"/>
    </row>
    <row r="21" spans="2:2" ht="13" customHeight="1">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2">
    <mergeCell ref="B2:I2"/>
    <mergeCell ref="B4:C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showGridLines="0" workbookViewId="0">
      <selection activeCell="C15" sqref="C15:D15"/>
    </sheetView>
  </sheetViews>
  <sheetFormatPr baseColWidth="10" defaultRowHeight="12" x14ac:dyDescent="0"/>
  <cols>
    <col min="1" max="1" width="2.6640625" customWidth="1"/>
    <col min="2" max="2" width="21.5" style="3" customWidth="1"/>
    <col min="3" max="3" width="12.5" customWidth="1"/>
    <col min="4" max="4" width="5" customWidth="1"/>
    <col min="5" max="5" width="19.83203125" bestFit="1" customWidth="1"/>
    <col min="6" max="6" width="13.1640625" bestFit="1" customWidth="1"/>
    <col min="7" max="7" width="5.6640625" customWidth="1"/>
    <col min="8" max="8" width="12.33203125" bestFit="1" customWidth="1"/>
    <col min="9" max="9" width="22.83203125" customWidth="1"/>
  </cols>
  <sheetData>
    <row r="1" spans="1:22" ht="13" thickBot="1"/>
    <row r="2" spans="1:22" ht="23" customHeight="1" thickBot="1">
      <c r="B2" s="398" t="s">
        <v>244</v>
      </c>
      <c r="C2" s="399"/>
      <c r="D2" s="399"/>
      <c r="E2" s="399"/>
      <c r="F2" s="399"/>
      <c r="G2" s="399"/>
      <c r="H2" s="399"/>
      <c r="I2" s="400"/>
    </row>
    <row r="3" spans="1:22" ht="13" thickBot="1">
      <c r="K3" s="2"/>
    </row>
    <row r="4" spans="1:22" ht="13" thickBot="1">
      <c r="B4" s="425" t="s">
        <v>227</v>
      </c>
      <c r="C4" s="427"/>
      <c r="E4" s="26" t="s">
        <v>228</v>
      </c>
      <c r="F4" s="119" t="s">
        <v>229</v>
      </c>
      <c r="H4" s="26" t="s">
        <v>230</v>
      </c>
      <c r="I4" s="119" t="s">
        <v>231</v>
      </c>
    </row>
    <row r="5" spans="1:22" ht="13" thickBot="1">
      <c r="E5" s="3"/>
      <c r="F5" s="3"/>
      <c r="H5" s="3"/>
    </row>
    <row r="6" spans="1:22" ht="13" thickBot="1">
      <c r="B6" s="26" t="s">
        <v>232</v>
      </c>
      <c r="C6" s="119" t="s">
        <v>233</v>
      </c>
      <c r="E6" s="26" t="s">
        <v>235</v>
      </c>
      <c r="F6" s="119">
        <v>24599</v>
      </c>
      <c r="H6" s="26" t="s">
        <v>234</v>
      </c>
      <c r="I6" s="120" t="str">
        <f ca="1">CONCATENATE(TEXT(TODAY()-$F$6,"aa"), " ans")</f>
        <v>aa ans</v>
      </c>
    </row>
    <row r="7" spans="1:22" ht="13" thickBot="1">
      <c r="E7" s="3"/>
      <c r="F7" s="3"/>
      <c r="H7" s="3"/>
    </row>
    <row r="8" spans="1:22" ht="13" thickBot="1">
      <c r="B8" s="26" t="s">
        <v>236</v>
      </c>
      <c r="C8" s="121">
        <v>181</v>
      </c>
    </row>
    <row r="9" spans="1:22" ht="13" thickBot="1">
      <c r="B9"/>
    </row>
    <row r="10" spans="1:22" ht="13" thickBot="1">
      <c r="B10" s="26" t="s">
        <v>237</v>
      </c>
      <c r="C10" s="121">
        <v>93</v>
      </c>
      <c r="E10" s="26" t="s">
        <v>238</v>
      </c>
      <c r="F10" s="119">
        <v>42028</v>
      </c>
      <c r="H10" s="26" t="s">
        <v>243</v>
      </c>
      <c r="I10" s="120">
        <v>82</v>
      </c>
    </row>
    <row r="11" spans="1:22" ht="13" thickBot="1">
      <c r="B11" s="3" t="str">
        <f ca="1">CONCATENATE("Mesuré, il y a ",TEXT(TODAY()-$F$10,"0")," jours.")</f>
        <v>Mesuré, il y a 362 jours.</v>
      </c>
    </row>
    <row r="12" spans="1:22" ht="15">
      <c r="A12" s="36"/>
      <c r="B12" s="66"/>
      <c r="C12" s="569" t="s">
        <v>195</v>
      </c>
      <c r="D12" s="570"/>
      <c r="E12" s="570"/>
      <c r="F12" s="571"/>
      <c r="G12" s="572" t="s">
        <v>196</v>
      </c>
      <c r="H12" s="572"/>
      <c r="I12" s="572"/>
      <c r="J12" s="573"/>
      <c r="K12" s="576" t="s">
        <v>197</v>
      </c>
      <c r="L12" s="577"/>
      <c r="M12" s="577"/>
      <c r="N12" s="577"/>
      <c r="O12" s="577"/>
      <c r="P12" s="578"/>
      <c r="Q12" s="563" t="s">
        <v>198</v>
      </c>
      <c r="R12" s="564"/>
      <c r="S12" s="565"/>
      <c r="T12" s="75"/>
      <c r="U12" s="36"/>
      <c r="V12" s="36"/>
    </row>
    <row r="13" spans="1:22" ht="15">
      <c r="A13" s="36"/>
      <c r="B13" s="36"/>
      <c r="C13" s="543" t="s">
        <v>199</v>
      </c>
      <c r="D13" s="544"/>
      <c r="E13" s="539" t="s">
        <v>200</v>
      </c>
      <c r="F13" s="540"/>
      <c r="G13" s="574"/>
      <c r="H13" s="574"/>
      <c r="I13" s="574"/>
      <c r="J13" s="575"/>
      <c r="K13" s="579"/>
      <c r="L13" s="580"/>
      <c r="M13" s="580"/>
      <c r="N13" s="580"/>
      <c r="O13" s="580"/>
      <c r="P13" s="581"/>
      <c r="Q13" s="566"/>
      <c r="R13" s="567"/>
      <c r="S13" s="568"/>
      <c r="T13" s="75"/>
      <c r="U13" s="36"/>
      <c r="V13" s="36"/>
    </row>
    <row r="14" spans="1:22" ht="16" thickBot="1">
      <c r="A14" s="36"/>
      <c r="B14" s="76"/>
      <c r="C14" s="543" t="s">
        <v>201</v>
      </c>
      <c r="D14" s="544"/>
      <c r="E14" s="539" t="s">
        <v>202</v>
      </c>
      <c r="F14" s="540"/>
      <c r="G14" s="541" t="s">
        <v>203</v>
      </c>
      <c r="H14" s="542"/>
      <c r="I14" s="542"/>
      <c r="J14" s="542"/>
      <c r="K14" s="545" t="s">
        <v>204</v>
      </c>
      <c r="L14" s="546"/>
      <c r="M14" s="546"/>
      <c r="N14" s="546"/>
      <c r="O14" s="546"/>
      <c r="P14" s="546"/>
      <c r="Q14" s="77"/>
      <c r="R14" s="78"/>
      <c r="S14" s="79"/>
      <c r="T14" s="75"/>
      <c r="U14" s="36"/>
      <c r="V14" s="36"/>
    </row>
    <row r="15" spans="1:22" ht="13" thickBot="1">
      <c r="B15" s="191" t="s">
        <v>169</v>
      </c>
      <c r="C15" s="547">
        <v>0.6</v>
      </c>
      <c r="D15" s="548"/>
      <c r="E15" s="549">
        <v>0.7</v>
      </c>
      <c r="F15" s="550"/>
      <c r="G15" s="551">
        <v>0.8</v>
      </c>
      <c r="H15" s="552"/>
      <c r="I15" s="553">
        <v>0.85</v>
      </c>
      <c r="J15" s="554"/>
      <c r="K15" s="555">
        <v>0.9</v>
      </c>
      <c r="L15" s="556"/>
      <c r="M15" s="557">
        <v>1</v>
      </c>
      <c r="N15" s="556"/>
      <c r="O15" s="558">
        <v>1.05</v>
      </c>
      <c r="P15" s="559"/>
      <c r="Q15" s="485">
        <v>1.1000000000000001</v>
      </c>
      <c r="R15" s="486"/>
      <c r="S15" s="487"/>
      <c r="T15" s="80"/>
      <c r="U15" s="36"/>
      <c r="V15" s="36"/>
    </row>
    <row r="16" spans="1:22" ht="23" thickTop="1" thickBot="1">
      <c r="B16" s="191" t="s">
        <v>205</v>
      </c>
      <c r="C16" s="488">
        <v>10.799999999999999</v>
      </c>
      <c r="D16" s="488"/>
      <c r="E16" s="489">
        <v>12.6</v>
      </c>
      <c r="F16" s="490"/>
      <c r="G16" s="560">
        <v>14.4</v>
      </c>
      <c r="H16" s="560"/>
      <c r="I16" s="561">
        <v>15.299999999999999</v>
      </c>
      <c r="J16" s="562"/>
      <c r="K16" s="499">
        <v>16.2</v>
      </c>
      <c r="L16" s="499"/>
      <c r="M16" s="500">
        <v>18</v>
      </c>
      <c r="N16" s="501"/>
      <c r="O16" s="499">
        <v>18.900000000000002</v>
      </c>
      <c r="P16" s="499"/>
      <c r="Q16" s="532">
        <v>19.8</v>
      </c>
      <c r="R16" s="533"/>
      <c r="S16" s="534"/>
      <c r="T16" s="81"/>
      <c r="U16" s="82"/>
      <c r="V16" s="82"/>
    </row>
    <row r="17" spans="2:22" ht="13" customHeight="1" thickTop="1" thickBot="1">
      <c r="B17" s="191" t="s">
        <v>206</v>
      </c>
      <c r="C17" s="469">
        <v>143.76</v>
      </c>
      <c r="D17" s="470"/>
      <c r="E17" s="473">
        <v>154.4</v>
      </c>
      <c r="F17" s="474"/>
      <c r="G17" s="477">
        <v>161.05000000000001</v>
      </c>
      <c r="H17" s="478"/>
      <c r="I17" s="481">
        <v>163.70999999999998</v>
      </c>
      <c r="J17" s="482"/>
      <c r="K17" s="527">
        <v>167.7</v>
      </c>
      <c r="L17" s="528"/>
      <c r="M17" s="520">
        <v>174.35</v>
      </c>
      <c r="N17" s="521"/>
      <c r="O17" s="524">
        <v>175.68</v>
      </c>
      <c r="P17" s="525"/>
      <c r="Q17" s="535">
        <v>177.01</v>
      </c>
      <c r="R17" s="536"/>
      <c r="S17" s="83"/>
      <c r="T17" s="84"/>
      <c r="U17" s="36"/>
      <c r="V17" s="36"/>
    </row>
    <row r="18" spans="2:22" ht="19" thickBot="1">
      <c r="B18" s="191"/>
      <c r="C18" s="471"/>
      <c r="D18" s="472"/>
      <c r="E18" s="475"/>
      <c r="F18" s="476"/>
      <c r="G18" s="479"/>
      <c r="H18" s="480"/>
      <c r="I18" s="483"/>
      <c r="J18" s="484"/>
      <c r="K18" s="529"/>
      <c r="L18" s="530"/>
      <c r="M18" s="522"/>
      <c r="N18" s="523"/>
      <c r="O18" s="522"/>
      <c r="P18" s="526"/>
      <c r="Q18" s="537"/>
      <c r="R18" s="538"/>
      <c r="S18" s="85"/>
      <c r="T18" s="84"/>
      <c r="U18" s="502" t="s">
        <v>207</v>
      </c>
      <c r="V18" s="502"/>
    </row>
    <row r="19" spans="2:22" ht="13" customHeight="1" thickBot="1">
      <c r="B19" s="191" t="s">
        <v>208</v>
      </c>
      <c r="C19" s="463" t="s">
        <v>209</v>
      </c>
      <c r="D19" s="464"/>
      <c r="E19" s="465" t="s">
        <v>210</v>
      </c>
      <c r="F19" s="466"/>
      <c r="G19" s="467" t="s">
        <v>211</v>
      </c>
      <c r="H19" s="468"/>
      <c r="I19" s="468"/>
      <c r="J19" s="468"/>
      <c r="K19" s="531"/>
      <c r="L19" s="515"/>
      <c r="M19" s="508" t="s">
        <v>212</v>
      </c>
      <c r="N19" s="515"/>
      <c r="O19" s="508"/>
      <c r="P19" s="509"/>
      <c r="Q19" s="510" t="s">
        <v>213</v>
      </c>
      <c r="R19" s="511"/>
      <c r="S19" s="512"/>
      <c r="T19" s="84"/>
      <c r="U19" s="502"/>
      <c r="V19" s="502"/>
    </row>
    <row r="20" spans="2:22" ht="13" thickBot="1">
      <c r="B20" s="191" t="s">
        <v>214</v>
      </c>
      <c r="C20" s="491" t="s">
        <v>215</v>
      </c>
      <c r="D20" s="492"/>
      <c r="E20" s="493" t="s">
        <v>216</v>
      </c>
      <c r="F20" s="494"/>
      <c r="G20" s="495" t="s">
        <v>217</v>
      </c>
      <c r="H20" s="496"/>
      <c r="I20" s="497">
        <v>15.299999999999999</v>
      </c>
      <c r="J20" s="498"/>
      <c r="K20" s="513" t="s">
        <v>218</v>
      </c>
      <c r="L20" s="514"/>
      <c r="M20" s="516">
        <v>2.7</v>
      </c>
      <c r="N20" s="517"/>
      <c r="O20" s="518">
        <v>390</v>
      </c>
      <c r="P20" s="519"/>
      <c r="Q20" s="454">
        <v>165</v>
      </c>
      <c r="R20" s="455"/>
      <c r="S20" s="456"/>
      <c r="T20" s="86"/>
      <c r="U20" s="502"/>
      <c r="V20" s="502"/>
    </row>
    <row r="21" spans="2:22" ht="13" customHeight="1" thickBot="1">
      <c r="B21" s="191" t="s">
        <v>219</v>
      </c>
      <c r="C21" s="457">
        <v>49</v>
      </c>
      <c r="D21" s="458"/>
      <c r="E21" s="458"/>
      <c r="F21" s="459"/>
      <c r="G21" s="460">
        <v>10.5</v>
      </c>
      <c r="H21" s="461"/>
      <c r="I21" s="461"/>
      <c r="J21" s="462"/>
      <c r="K21" s="503">
        <v>7</v>
      </c>
      <c r="L21" s="503"/>
      <c r="M21" s="503"/>
      <c r="N21" s="503"/>
      <c r="O21" s="503"/>
      <c r="P21" s="504"/>
      <c r="Q21" s="505">
        <v>3.5</v>
      </c>
      <c r="R21" s="506"/>
      <c r="S21" s="507"/>
      <c r="T21" s="87"/>
      <c r="U21" s="88">
        <v>70</v>
      </c>
      <c r="V21" s="36"/>
    </row>
    <row r="22" spans="2:22" ht="14" thickBot="1">
      <c r="B22" s="191" t="s">
        <v>220</v>
      </c>
      <c r="C22" s="36"/>
      <c r="D22" s="36"/>
      <c r="E22" s="89">
        <v>151</v>
      </c>
      <c r="F22" s="90">
        <v>158</v>
      </c>
      <c r="G22" s="91"/>
      <c r="H22" s="36"/>
      <c r="I22" s="92">
        <v>160</v>
      </c>
      <c r="J22" s="93">
        <v>167</v>
      </c>
      <c r="K22" s="36"/>
      <c r="L22" s="36"/>
      <c r="M22" s="36"/>
      <c r="N22" s="36"/>
      <c r="O22" s="36"/>
      <c r="P22" s="36"/>
      <c r="Q22" s="452">
        <v>177.01</v>
      </c>
      <c r="R22" s="453"/>
      <c r="S22" s="94">
        <v>181</v>
      </c>
      <c r="T22" s="36"/>
      <c r="U22" s="36"/>
      <c r="V22" s="36"/>
    </row>
    <row r="23" spans="2:22" ht="13" thickBot="1">
      <c r="B23"/>
    </row>
    <row r="24" spans="2:22" ht="13" thickBot="1">
      <c r="B24" s="425" t="s">
        <v>239</v>
      </c>
      <c r="C24" s="427"/>
      <c r="E24" s="425" t="s">
        <v>242</v>
      </c>
      <c r="F24" s="426"/>
      <c r="G24" s="426"/>
      <c r="H24" s="426"/>
      <c r="I24" s="427"/>
    </row>
    <row r="25" spans="2:22" ht="13" thickBot="1">
      <c r="B25" s="26" t="s">
        <v>240</v>
      </c>
      <c r="C25" s="20" t="s">
        <v>241</v>
      </c>
    </row>
    <row r="26" spans="2:22" ht="13" thickBot="1">
      <c r="B26" s="29">
        <v>42037</v>
      </c>
      <c r="C26" s="28">
        <v>93</v>
      </c>
    </row>
    <row r="27" spans="2:22" ht="13" thickBot="1">
      <c r="B27" s="123">
        <f>B26+7</f>
        <v>42044</v>
      </c>
      <c r="C27" s="28">
        <v>93</v>
      </c>
    </row>
    <row r="28" spans="2:22" ht="13" thickBot="1">
      <c r="B28" s="123">
        <f t="shared" ref="B28:B73" si="0">B27+7</f>
        <v>42051</v>
      </c>
      <c r="C28" s="28">
        <v>93</v>
      </c>
    </row>
    <row r="29" spans="2:22" ht="13" thickBot="1">
      <c r="B29" s="123">
        <f t="shared" si="0"/>
        <v>42058</v>
      </c>
      <c r="C29" s="28">
        <v>93</v>
      </c>
    </row>
    <row r="30" spans="2:22" ht="13" thickBot="1">
      <c r="B30" s="123">
        <f t="shared" si="0"/>
        <v>42065</v>
      </c>
      <c r="C30" s="28">
        <v>93</v>
      </c>
    </row>
    <row r="31" spans="2:22" ht="13" thickBot="1">
      <c r="B31" s="123">
        <f t="shared" si="0"/>
        <v>42072</v>
      </c>
      <c r="C31" s="28">
        <v>93</v>
      </c>
    </row>
    <row r="32" spans="2:22" ht="13" thickBot="1">
      <c r="B32" s="123">
        <f t="shared" si="0"/>
        <v>42079</v>
      </c>
      <c r="C32" s="28">
        <v>93</v>
      </c>
    </row>
    <row r="33" spans="2:3" ht="13" thickBot="1">
      <c r="B33" s="123">
        <f t="shared" si="0"/>
        <v>42086</v>
      </c>
      <c r="C33" s="28">
        <v>93</v>
      </c>
    </row>
    <row r="34" spans="2:3" ht="13" thickBot="1">
      <c r="B34" s="123">
        <f t="shared" si="0"/>
        <v>42093</v>
      </c>
      <c r="C34" s="28">
        <v>93</v>
      </c>
    </row>
    <row r="35" spans="2:3" ht="13" thickBot="1">
      <c r="B35" s="123">
        <f t="shared" si="0"/>
        <v>42100</v>
      </c>
      <c r="C35" s="28">
        <v>93</v>
      </c>
    </row>
    <row r="36" spans="2:3" ht="13" thickBot="1">
      <c r="B36" s="123">
        <f t="shared" si="0"/>
        <v>42107</v>
      </c>
      <c r="C36" s="28">
        <v>93</v>
      </c>
    </row>
    <row r="37" spans="2:3" ht="13" thickBot="1">
      <c r="B37" s="123">
        <f t="shared" si="0"/>
        <v>42114</v>
      </c>
      <c r="C37" s="28">
        <v>93</v>
      </c>
    </row>
    <row r="38" spans="2:3" ht="13" thickBot="1">
      <c r="B38" s="123">
        <f t="shared" si="0"/>
        <v>42121</v>
      </c>
      <c r="C38" s="28">
        <v>93</v>
      </c>
    </row>
    <row r="39" spans="2:3" ht="13" thickBot="1">
      <c r="B39" s="123">
        <f t="shared" si="0"/>
        <v>42128</v>
      </c>
      <c r="C39" s="28">
        <v>93</v>
      </c>
    </row>
    <row r="40" spans="2:3" ht="13" thickBot="1">
      <c r="B40" s="123">
        <f t="shared" si="0"/>
        <v>42135</v>
      </c>
      <c r="C40" s="28">
        <v>93</v>
      </c>
    </row>
    <row r="41" spans="2:3" ht="13" thickBot="1">
      <c r="B41" s="123">
        <f t="shared" si="0"/>
        <v>42142</v>
      </c>
      <c r="C41" s="28">
        <v>93</v>
      </c>
    </row>
    <row r="42" spans="2:3" ht="13" thickBot="1">
      <c r="B42" s="123">
        <f t="shared" si="0"/>
        <v>42149</v>
      </c>
      <c r="C42" s="28">
        <v>93</v>
      </c>
    </row>
    <row r="43" spans="2:3" ht="13" thickBot="1">
      <c r="B43" s="123">
        <f t="shared" si="0"/>
        <v>42156</v>
      </c>
      <c r="C43" s="28">
        <v>93</v>
      </c>
    </row>
    <row r="44" spans="2:3" ht="13" thickBot="1">
      <c r="B44" s="123">
        <f t="shared" si="0"/>
        <v>42163</v>
      </c>
      <c r="C44" s="28">
        <v>93</v>
      </c>
    </row>
    <row r="45" spans="2:3" ht="13" thickBot="1">
      <c r="B45" s="123">
        <f t="shared" si="0"/>
        <v>42170</v>
      </c>
      <c r="C45" s="28">
        <v>93</v>
      </c>
    </row>
    <row r="46" spans="2:3" ht="13" thickBot="1">
      <c r="B46" s="123">
        <f t="shared" si="0"/>
        <v>42177</v>
      </c>
      <c r="C46" s="28">
        <v>93</v>
      </c>
    </row>
    <row r="47" spans="2:3" ht="13" thickBot="1">
      <c r="B47" s="123">
        <f t="shared" si="0"/>
        <v>42184</v>
      </c>
      <c r="C47" s="28">
        <v>93</v>
      </c>
    </row>
    <row r="48" spans="2:3" ht="13" thickBot="1">
      <c r="B48" s="123">
        <f t="shared" si="0"/>
        <v>42191</v>
      </c>
      <c r="C48" s="28">
        <v>93</v>
      </c>
    </row>
    <row r="49" spans="2:3" ht="13" thickBot="1">
      <c r="B49" s="123">
        <f t="shared" si="0"/>
        <v>42198</v>
      </c>
      <c r="C49" s="28">
        <v>93</v>
      </c>
    </row>
    <row r="50" spans="2:3" ht="13" thickBot="1">
      <c r="B50" s="123">
        <f t="shared" si="0"/>
        <v>42205</v>
      </c>
      <c r="C50" s="28">
        <v>93</v>
      </c>
    </row>
    <row r="51" spans="2:3" ht="13" thickBot="1">
      <c r="B51" s="123">
        <f t="shared" si="0"/>
        <v>42212</v>
      </c>
      <c r="C51" s="28">
        <v>93</v>
      </c>
    </row>
    <row r="52" spans="2:3" ht="13" thickBot="1">
      <c r="B52" s="123">
        <f t="shared" si="0"/>
        <v>42219</v>
      </c>
      <c r="C52" s="28">
        <v>93</v>
      </c>
    </row>
    <row r="53" spans="2:3" ht="13" thickBot="1">
      <c r="B53" s="123">
        <f t="shared" si="0"/>
        <v>42226</v>
      </c>
      <c r="C53" s="28">
        <v>93</v>
      </c>
    </row>
    <row r="54" spans="2:3" ht="13" thickBot="1">
      <c r="B54" s="123">
        <f t="shared" si="0"/>
        <v>42233</v>
      </c>
      <c r="C54" s="28">
        <v>93</v>
      </c>
    </row>
    <row r="55" spans="2:3" ht="13" thickBot="1">
      <c r="B55" s="123">
        <f t="shared" si="0"/>
        <v>42240</v>
      </c>
      <c r="C55" s="28">
        <v>93</v>
      </c>
    </row>
    <row r="56" spans="2:3" ht="13" thickBot="1">
      <c r="B56" s="123">
        <f t="shared" si="0"/>
        <v>42247</v>
      </c>
      <c r="C56" s="28">
        <v>93</v>
      </c>
    </row>
    <row r="57" spans="2:3" ht="13" thickBot="1">
      <c r="B57" s="123">
        <f t="shared" si="0"/>
        <v>42254</v>
      </c>
      <c r="C57" s="28">
        <v>93</v>
      </c>
    </row>
    <row r="58" spans="2:3" ht="13" thickBot="1">
      <c r="B58" s="123">
        <f t="shared" si="0"/>
        <v>42261</v>
      </c>
      <c r="C58" s="28">
        <v>93</v>
      </c>
    </row>
    <row r="59" spans="2:3" ht="13" thickBot="1">
      <c r="B59" s="123">
        <f t="shared" si="0"/>
        <v>42268</v>
      </c>
      <c r="C59" s="28">
        <v>93</v>
      </c>
    </row>
    <row r="60" spans="2:3" ht="13" thickBot="1">
      <c r="B60" s="123">
        <f t="shared" si="0"/>
        <v>42275</v>
      </c>
      <c r="C60" s="28">
        <v>93</v>
      </c>
    </row>
    <row r="61" spans="2:3" ht="13" thickBot="1">
      <c r="B61" s="123">
        <f t="shared" si="0"/>
        <v>42282</v>
      </c>
      <c r="C61" s="28">
        <v>93</v>
      </c>
    </row>
    <row r="62" spans="2:3" ht="13" thickBot="1">
      <c r="B62" s="123">
        <f t="shared" si="0"/>
        <v>42289</v>
      </c>
      <c r="C62" s="28">
        <v>93</v>
      </c>
    </row>
    <row r="63" spans="2:3" ht="13" thickBot="1">
      <c r="B63" s="123">
        <f t="shared" si="0"/>
        <v>42296</v>
      </c>
      <c r="C63" s="28">
        <v>93</v>
      </c>
    </row>
    <row r="64" spans="2:3" ht="13" thickBot="1">
      <c r="B64" s="123">
        <f t="shared" si="0"/>
        <v>42303</v>
      </c>
      <c r="C64" s="28">
        <v>93</v>
      </c>
    </row>
    <row r="65" spans="2:3" ht="13" thickBot="1">
      <c r="B65" s="123">
        <f t="shared" si="0"/>
        <v>42310</v>
      </c>
      <c r="C65" s="28">
        <v>93</v>
      </c>
    </row>
    <row r="66" spans="2:3" ht="13" thickBot="1">
      <c r="B66" s="123">
        <f t="shared" si="0"/>
        <v>42317</v>
      </c>
      <c r="C66" s="28">
        <v>93</v>
      </c>
    </row>
    <row r="67" spans="2:3" ht="13" thickBot="1">
      <c r="B67" s="123">
        <f t="shared" si="0"/>
        <v>42324</v>
      </c>
      <c r="C67" s="28">
        <v>93</v>
      </c>
    </row>
    <row r="68" spans="2:3" ht="13" thickBot="1">
      <c r="B68" s="123">
        <f t="shared" si="0"/>
        <v>42331</v>
      </c>
      <c r="C68" s="28">
        <v>93</v>
      </c>
    </row>
    <row r="69" spans="2:3" ht="13" thickBot="1">
      <c r="B69" s="123">
        <f t="shared" si="0"/>
        <v>42338</v>
      </c>
      <c r="C69" s="28">
        <v>93</v>
      </c>
    </row>
    <row r="70" spans="2:3" ht="13" thickBot="1">
      <c r="B70" s="123">
        <f t="shared" si="0"/>
        <v>42345</v>
      </c>
      <c r="C70" s="28">
        <v>93</v>
      </c>
    </row>
    <row r="71" spans="2:3" ht="13" thickBot="1">
      <c r="B71" s="123">
        <f t="shared" si="0"/>
        <v>42352</v>
      </c>
      <c r="C71" s="28">
        <v>93</v>
      </c>
    </row>
    <row r="72" spans="2:3" ht="13" thickBot="1">
      <c r="B72" s="123">
        <f t="shared" si="0"/>
        <v>42359</v>
      </c>
      <c r="C72" s="28">
        <v>93</v>
      </c>
    </row>
    <row r="73" spans="2:3" ht="13" thickBot="1">
      <c r="B73" s="123">
        <f t="shared" si="0"/>
        <v>42366</v>
      </c>
      <c r="C73" s="28">
        <v>93</v>
      </c>
    </row>
    <row r="74" spans="2:3">
      <c r="B74"/>
    </row>
    <row r="75" spans="2:3">
      <c r="B75"/>
    </row>
    <row r="76" spans="2:3">
      <c r="B76"/>
    </row>
    <row r="77" spans="2:3">
      <c r="B77"/>
    </row>
    <row r="78" spans="2:3">
      <c r="B78"/>
    </row>
    <row r="79" spans="2:3">
      <c r="B79"/>
    </row>
    <row r="80" spans="2:3">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60">
    <mergeCell ref="Q12:S12"/>
    <mergeCell ref="Q13:S13"/>
    <mergeCell ref="C12:F12"/>
    <mergeCell ref="G12:J13"/>
    <mergeCell ref="K12:P13"/>
    <mergeCell ref="E13:F13"/>
    <mergeCell ref="Q16:S16"/>
    <mergeCell ref="Q17:R18"/>
    <mergeCell ref="E14:F14"/>
    <mergeCell ref="G14:J14"/>
    <mergeCell ref="C13:D13"/>
    <mergeCell ref="K14:P14"/>
    <mergeCell ref="C15:D15"/>
    <mergeCell ref="E15:F15"/>
    <mergeCell ref="G15:H15"/>
    <mergeCell ref="I15:J15"/>
    <mergeCell ref="K15:L15"/>
    <mergeCell ref="M15:N15"/>
    <mergeCell ref="O15:P15"/>
    <mergeCell ref="C14:D14"/>
    <mergeCell ref="G16:H16"/>
    <mergeCell ref="I16:J16"/>
    <mergeCell ref="K16:L16"/>
    <mergeCell ref="M16:N16"/>
    <mergeCell ref="O16:P16"/>
    <mergeCell ref="U18:V20"/>
    <mergeCell ref="K21:P21"/>
    <mergeCell ref="Q21:S21"/>
    <mergeCell ref="O19:P19"/>
    <mergeCell ref="Q19:S19"/>
    <mergeCell ref="K20:L20"/>
    <mergeCell ref="M19:N19"/>
    <mergeCell ref="M20:N20"/>
    <mergeCell ref="O20:P20"/>
    <mergeCell ref="M17:N18"/>
    <mergeCell ref="O17:P18"/>
    <mergeCell ref="K17:L18"/>
    <mergeCell ref="K19:L19"/>
    <mergeCell ref="B24:C24"/>
    <mergeCell ref="E24:I24"/>
    <mergeCell ref="C20:D20"/>
    <mergeCell ref="E20:F20"/>
    <mergeCell ref="G20:H20"/>
    <mergeCell ref="I20:J20"/>
    <mergeCell ref="Q22:R22"/>
    <mergeCell ref="Q20:S20"/>
    <mergeCell ref="C21:F21"/>
    <mergeCell ref="G21:J21"/>
    <mergeCell ref="B2:I2"/>
    <mergeCell ref="B4:C4"/>
    <mergeCell ref="C19:D19"/>
    <mergeCell ref="E19:F19"/>
    <mergeCell ref="G19:J19"/>
    <mergeCell ref="C17:D18"/>
    <mergeCell ref="E17:F18"/>
    <mergeCell ref="G17:H18"/>
    <mergeCell ref="I17:J18"/>
    <mergeCell ref="Q15:S15"/>
    <mergeCell ref="C16:D16"/>
    <mergeCell ref="E16:F16"/>
  </mergeCells>
  <hyperlinks>
    <hyperlink ref="G14:J14" location="seuil!O9" tooltip="Aller sur la feuille SEUIL" display="footing rapide (seuil)"/>
    <hyperlink ref="K14:P14" location="VMA!L9" tooltip="Aller vers la feuille VMA." display="intervalles"/>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5"/>
  <sheetViews>
    <sheetView showGridLines="0" showRowColHeaders="0" topLeftCell="A33" zoomScale="130" zoomScaleNormal="130" zoomScalePageLayoutView="130" workbookViewId="0">
      <selection activeCell="K48" sqref="K48:L49"/>
    </sheetView>
  </sheetViews>
  <sheetFormatPr baseColWidth="10" defaultColWidth="11.5" defaultRowHeight="12" x14ac:dyDescent="0"/>
  <cols>
    <col min="1" max="1" width="1.5" style="36" customWidth="1"/>
    <col min="2" max="2" width="11.5" style="36"/>
    <col min="3" max="3" width="6.33203125" style="36" customWidth="1"/>
    <col min="4" max="4" width="6.6640625" style="36" customWidth="1"/>
    <col min="5" max="5" width="6" style="36" customWidth="1"/>
    <col min="6" max="6" width="7.5" style="36" customWidth="1"/>
    <col min="7" max="7" width="7.33203125" style="36" customWidth="1"/>
    <col min="8" max="8" width="5.83203125" style="36" customWidth="1"/>
    <col min="9" max="12" width="5.6640625" style="36" customWidth="1"/>
    <col min="13" max="14" width="3.5" style="36" customWidth="1"/>
    <col min="15" max="15" width="4.1640625" style="36" customWidth="1"/>
    <col min="16" max="16" width="4.33203125" style="36" customWidth="1"/>
    <col min="17" max="18" width="3.5" style="36" customWidth="1"/>
    <col min="19" max="19" width="5" style="36" customWidth="1"/>
    <col min="20" max="20" width="1.5" style="36" customWidth="1"/>
    <col min="21" max="21" width="6.5" style="36" customWidth="1"/>
    <col min="22" max="22" width="1.83203125" style="36" customWidth="1"/>
    <col min="23" max="23" width="6.6640625" style="36" customWidth="1"/>
    <col min="24" max="24" width="7.5" style="36" customWidth="1"/>
    <col min="25" max="16384" width="11.5" style="36"/>
  </cols>
  <sheetData>
    <row r="1" spans="1:23" ht="25.5" customHeight="1" thickBot="1">
      <c r="C1" s="588" t="s">
        <v>173</v>
      </c>
      <c r="D1" s="589"/>
      <c r="E1" s="589"/>
      <c r="F1" s="589"/>
      <c r="G1" s="589"/>
      <c r="H1" s="589"/>
      <c r="I1" s="589"/>
      <c r="J1" s="589"/>
      <c r="K1" s="589"/>
      <c r="L1" s="589"/>
      <c r="M1" s="589"/>
      <c r="N1" s="589"/>
      <c r="O1" s="589"/>
      <c r="P1" s="589"/>
      <c r="Q1" s="589"/>
      <c r="R1" s="589"/>
      <c r="S1" s="589"/>
      <c r="T1" s="589"/>
      <c r="U1" s="589"/>
      <c r="V1" s="589"/>
      <c r="W1" s="590"/>
    </row>
    <row r="3" spans="1:23">
      <c r="B3" s="37" t="s">
        <v>174</v>
      </c>
    </row>
    <row r="4" spans="1:23">
      <c r="B4" s="38" t="s">
        <v>175</v>
      </c>
    </row>
    <row r="5" spans="1:23">
      <c r="B5" s="36" t="s">
        <v>176</v>
      </c>
    </row>
    <row r="6" spans="1:23" ht="13" thickBot="1"/>
    <row r="7" spans="1:23" ht="13" thickBot="1">
      <c r="A7" s="39"/>
      <c r="G7" s="591">
        <v>40491</v>
      </c>
      <c r="H7" s="592"/>
      <c r="I7" s="40"/>
      <c r="J7" s="41">
        <v>3</v>
      </c>
      <c r="K7" s="36" t="s">
        <v>177</v>
      </c>
      <c r="L7" s="42">
        <v>15</v>
      </c>
      <c r="M7" s="36" t="s">
        <v>178</v>
      </c>
      <c r="O7" s="593" t="str">
        <f>IF(Q15="","","Saisir les données du test VMA dans le tableau des résultats.")</f>
        <v>Saisir les données du test VMA dans le tableau des résultats.</v>
      </c>
      <c r="P7" s="593"/>
      <c r="Q7" s="593"/>
      <c r="R7" s="593"/>
      <c r="S7" s="593"/>
      <c r="T7" s="593"/>
      <c r="U7" s="593"/>
      <c r="V7" s="593"/>
      <c r="W7" s="593"/>
    </row>
    <row r="8" spans="1:23" ht="3" customHeight="1" thickBot="1">
      <c r="L8" s="43"/>
      <c r="O8" s="593"/>
      <c r="P8" s="593"/>
      <c r="Q8" s="593"/>
      <c r="R8" s="593"/>
      <c r="S8" s="593"/>
      <c r="T8" s="593"/>
      <c r="U8" s="593"/>
      <c r="V8" s="593"/>
      <c r="W8" s="593"/>
    </row>
    <row r="9" spans="1:23" ht="13" thickBot="1">
      <c r="G9" s="594"/>
      <c r="H9" s="594"/>
      <c r="J9" s="41">
        <v>3</v>
      </c>
      <c r="K9" s="36" t="s">
        <v>177</v>
      </c>
      <c r="L9" s="42">
        <v>24</v>
      </c>
      <c r="M9" s="36" t="s">
        <v>178</v>
      </c>
      <c r="O9" s="593"/>
      <c r="P9" s="593"/>
      <c r="Q9" s="593"/>
      <c r="R9" s="593"/>
      <c r="S9" s="593"/>
      <c r="T9" s="593"/>
      <c r="U9" s="593"/>
      <c r="V9" s="593"/>
      <c r="W9" s="593"/>
    </row>
    <row r="10" spans="1:23" ht="3" customHeight="1" thickBot="1">
      <c r="J10" s="44"/>
      <c r="L10" s="43"/>
      <c r="P10" s="595" t="str">
        <f>IF(Q15="","","TABLEAU")</f>
        <v>TABLEAU</v>
      </c>
      <c r="Q10" s="596"/>
      <c r="R10" s="597"/>
    </row>
    <row r="11" spans="1:23" ht="13" thickBot="1">
      <c r="J11" s="41">
        <v>3</v>
      </c>
      <c r="K11" s="36" t="s">
        <v>177</v>
      </c>
      <c r="L11" s="42">
        <v>28</v>
      </c>
      <c r="M11" s="36" t="s">
        <v>178</v>
      </c>
      <c r="P11" s="598"/>
      <c r="Q11" s="599"/>
      <c r="R11" s="600"/>
    </row>
    <row r="12" spans="1:23" ht="3" customHeight="1" thickBot="1">
      <c r="J12" s="44"/>
      <c r="L12" s="45"/>
      <c r="P12" s="601"/>
      <c r="Q12" s="602"/>
      <c r="R12" s="603"/>
    </row>
    <row r="13" spans="1:23" ht="13.5" customHeight="1" thickBot="1">
      <c r="J13" s="41">
        <v>3</v>
      </c>
      <c r="K13" s="36" t="s">
        <v>177</v>
      </c>
      <c r="L13" s="42">
        <v>13</v>
      </c>
      <c r="M13" s="36" t="s">
        <v>178</v>
      </c>
    </row>
    <row r="14" spans="1:23" ht="6" customHeight="1" thickBot="1">
      <c r="J14" s="44"/>
      <c r="L14" s="45"/>
    </row>
    <row r="15" spans="1:23" ht="13.5" customHeight="1" thickBot="1">
      <c r="F15" s="582" t="s">
        <v>179</v>
      </c>
      <c r="G15" s="582"/>
      <c r="H15" s="582"/>
      <c r="I15" s="583"/>
      <c r="J15" s="46">
        <f>IF(AND(OR(J13="",J13=0),OR(J11="",J11=0),OR(J9="",J9=0)),J7,IF(AND(OR(AND(J13="",L13=""),AND(J13=0,L13=0)),OR((AND(J11="",L11="")),AND(J11=0,L11=0))),INT(((J7+J9)*60+L7+L9)/120),IF(OR(AND(J13="",L13=""),AND(J13=0,L13=0)),INT(((J7+J9+J11)*60+L7+L9+J11)/180),INT(((J7+J9+J11+J13)*60+L7+L9+L11+J13)/240))))</f>
        <v>3</v>
      </c>
      <c r="K15" s="36" t="s">
        <v>177</v>
      </c>
      <c r="L15" s="47">
        <f>IF(AND(OR(J13="",J13=0),OR(J11="",J11=0),OR(J9="",J9=0)),L7,IF(AND(OR(AND(J13="",L13=""),AND(J13=0,L13=0)),OR((AND(J11="",L11="")),AND(J11=0,L11=0))),(((J7+J9)*60+(L7+L9))/2-INT(((J7+J9)*60+(L7+L9))/2/60)*60),IF(OR(AND(J13="",L13=""),AND(J13=0,L13=0)),(((J7+J9+J11)*60+(L7+L9+L11))/3-INT(((J7+J9+J11)*60+(L7+L9+L11))/3/60)*60),(((J7+J9+J11+J13)*60+(L7+L9+L11+L13))/4-INT(((J7+J9+J11+J13)*60+(L7+L9+L11+L13))/4/60)*60))))</f>
        <v>20</v>
      </c>
      <c r="M15" s="36" t="s">
        <v>178</v>
      </c>
      <c r="O15" s="584" t="s">
        <v>180</v>
      </c>
      <c r="P15" s="584"/>
      <c r="Q15" s="585">
        <f>IF(OR(AND(J15=0,L15=0),AND(J15="",L15="")),"",1/(J15/60+L15/3600))</f>
        <v>18</v>
      </c>
      <c r="R15" s="586"/>
      <c r="S15" s="587"/>
    </row>
    <row r="16" spans="1:23" ht="6" customHeight="1" thickBot="1"/>
    <row r="17" spans="2:23" ht="13.5" customHeight="1" thickBot="1">
      <c r="J17" s="604" t="str">
        <f ca="1">IF(G7="","",IF(NOW()-G7&lt;0,"Erreur sur la date du test.","Le test VMA a été réalisé, il y a"))</f>
        <v>Le test VMA a été réalisé, il y a</v>
      </c>
      <c r="K17" s="604"/>
      <c r="L17" s="604"/>
      <c r="M17" s="604"/>
      <c r="N17" s="604"/>
      <c r="O17" s="604"/>
      <c r="P17" s="605"/>
      <c r="Q17" s="606">
        <f ca="1">IF(G7="","",IF(ROUNDDOWN(NOW()-G7,0)&lt;0,"",IF(NOW()-G7&lt;=14,ROUNDDOWN(NOW()-G7,0),ROUND((NOW()-G7)/7,0))))</f>
        <v>271</v>
      </c>
      <c r="R17" s="607"/>
      <c r="S17" s="608"/>
      <c r="U17" s="48" t="str">
        <f ca="1">IF(Q17="","",IF(OR(Q17=0,Q17=1),"jour",IF((NOW()-G7)&gt;14,"semaines","jours.")))</f>
        <v>semaines</v>
      </c>
      <c r="V17" s="48"/>
    </row>
    <row r="18" spans="2:23" ht="6" customHeight="1">
      <c r="M18" s="49"/>
      <c r="N18" s="49"/>
      <c r="O18" s="49"/>
      <c r="P18" s="50"/>
    </row>
    <row r="19" spans="2:23" ht="13.5" customHeight="1">
      <c r="J19" s="609" t="str">
        <f ca="1">IF(Q17="","",IF(INT((NOW()-G7)/7)&gt;=4,"Il est souhaitable de refaire un test VMA toutes les 4 à 6 semaines ou alors en début de cycle.",""))</f>
        <v>Il est souhaitable de refaire un test VMA toutes les 4 à 6 semaines ou alors en début de cycle.</v>
      </c>
      <c r="K19" s="609"/>
      <c r="L19" s="609"/>
      <c r="M19" s="609"/>
      <c r="N19" s="609"/>
      <c r="O19" s="609"/>
      <c r="P19" s="609"/>
      <c r="Q19" s="609"/>
      <c r="R19" s="609"/>
      <c r="S19" s="609"/>
      <c r="T19" s="609"/>
      <c r="U19" s="609"/>
      <c r="V19" s="609"/>
      <c r="W19" s="609"/>
    </row>
    <row r="20" spans="2:23" ht="6" customHeight="1">
      <c r="J20" s="609"/>
      <c r="K20" s="609"/>
      <c r="L20" s="609"/>
      <c r="M20" s="609"/>
      <c r="N20" s="609"/>
      <c r="O20" s="609"/>
      <c r="P20" s="609"/>
      <c r="Q20" s="609"/>
      <c r="R20" s="609"/>
      <c r="S20" s="609"/>
      <c r="T20" s="609"/>
      <c r="U20" s="609"/>
      <c r="V20" s="609"/>
      <c r="W20" s="609"/>
    </row>
    <row r="21" spans="2:23" ht="13.5" customHeight="1">
      <c r="B21" s="37" t="s">
        <v>181</v>
      </c>
      <c r="J21" s="609"/>
      <c r="K21" s="609"/>
      <c r="L21" s="609"/>
      <c r="M21" s="609"/>
      <c r="N21" s="609"/>
      <c r="O21" s="609"/>
      <c r="P21" s="609"/>
      <c r="Q21" s="609"/>
      <c r="R21" s="609"/>
      <c r="S21" s="609"/>
      <c r="T21" s="609"/>
      <c r="U21" s="609"/>
      <c r="V21" s="609"/>
      <c r="W21" s="609"/>
    </row>
    <row r="22" spans="2:23" ht="13.5" customHeight="1">
      <c r="B22" s="36" t="s">
        <v>182</v>
      </c>
    </row>
    <row r="23" spans="2:23" ht="3" customHeight="1"/>
    <row r="24" spans="2:23" ht="13.5" customHeight="1" thickBot="1">
      <c r="B24" s="610" t="s">
        <v>183</v>
      </c>
      <c r="C24" s="610"/>
      <c r="D24" s="610"/>
      <c r="E24" s="610"/>
      <c r="F24" s="610"/>
    </row>
    <row r="25" spans="2:23" ht="13.5" customHeight="1" thickBot="1">
      <c r="C25" s="591">
        <v>40236</v>
      </c>
      <c r="D25" s="592"/>
      <c r="E25" s="582" t="s">
        <v>184</v>
      </c>
      <c r="F25" s="582"/>
      <c r="G25" s="582"/>
      <c r="H25" s="582"/>
      <c r="I25" s="583"/>
      <c r="J25" s="41">
        <v>3</v>
      </c>
      <c r="K25" s="36" t="s">
        <v>177</v>
      </c>
      <c r="L25" s="42">
        <v>40</v>
      </c>
      <c r="M25" s="36" t="s">
        <v>178</v>
      </c>
    </row>
    <row r="26" spans="2:23" ht="13.5" customHeight="1" thickBot="1">
      <c r="C26" s="594"/>
      <c r="D26" s="594"/>
      <c r="J26" s="36" t="str">
        <f>IF(J25+L25=0,"",IF(J25*60+L25&lt;180,"temps de maintien trop court, l'estimation de la VMA est trop élevée.",IF(J25*60+L25&gt;540,"temps de maintien trop long, l'estimation de la VMA est trop basse.","")))</f>
        <v/>
      </c>
    </row>
    <row r="27" spans="2:23" ht="13.5" customHeight="1" thickBot="1">
      <c r="B27" s="611" t="str">
        <f ca="1">IF(C25="","",IF(NOW()-C25&lt;0,"Erreur sur la date du test.","Le test VMA a été réalisé, il y a"))</f>
        <v>Le test VMA a été réalisé, il y a</v>
      </c>
      <c r="C27" s="611"/>
      <c r="D27" s="611"/>
      <c r="E27" s="612"/>
      <c r="F27" s="51">
        <f ca="1">IF(C25="","",IF(ROUNDDOWN(NOW()-C25,0)&lt;0,"",IF(NOW()-C25&lt;=14,ROUNDDOWN(NOW()-C25,0),ROUND((NOW()-C25)/7,0))))</f>
        <v>308</v>
      </c>
      <c r="G27" s="52" t="str">
        <f ca="1">IF(F27="","",IF(OR(F27=0,F27=1),"jour",IF((NOW()-C25)&gt;14,"semaines","jours.")))</f>
        <v>semaines</v>
      </c>
      <c r="H27" s="53"/>
      <c r="J27" s="36" t="str">
        <f>IF(J25+L25=0,"",IF(J25*60+L25&lt;180,"Faire le test de VMA à nouveau !",IF(J25*60+L25&gt;540,"Faire le test de VMA à nouveau !","")))</f>
        <v/>
      </c>
    </row>
    <row r="28" spans="2:23" ht="13.5" customHeight="1">
      <c r="B28" s="54" t="str">
        <f ca="1">IF(F27="","",IF(INT((NOW()-C25)/7)&gt;=4,"Il est souhaitable de refaire un test VMA toutes les 4 à 6 semaines ou alors en début de cycle.",""))</f>
        <v>Il est souhaitable de refaire un test VMA toutes les 4 à 6 semaines ou alors en début de cycle.</v>
      </c>
      <c r="F28" s="53"/>
      <c r="G28" s="55"/>
      <c r="H28" s="53"/>
    </row>
    <row r="29" spans="2:23" ht="13" thickBot="1">
      <c r="B29" s="37" t="s">
        <v>185</v>
      </c>
      <c r="C29" s="56"/>
      <c r="D29" s="56"/>
      <c r="E29" s="57"/>
    </row>
    <row r="30" spans="2:23" ht="13" thickBot="1">
      <c r="B30" s="604" t="s">
        <v>186</v>
      </c>
      <c r="C30" s="604"/>
      <c r="D30" s="604"/>
      <c r="E30" s="605"/>
      <c r="F30" s="58">
        <v>48</v>
      </c>
      <c r="G30" s="36" t="s">
        <v>187</v>
      </c>
      <c r="J30" s="613">
        <v>42025</v>
      </c>
      <c r="K30" s="614"/>
      <c r="L30" s="615" t="s">
        <v>188</v>
      </c>
      <c r="M30" s="616"/>
      <c r="N30" s="616"/>
      <c r="O30" s="616"/>
      <c r="P30" s="616"/>
      <c r="Q30" s="616"/>
      <c r="R30" s="616"/>
      <c r="S30" s="616"/>
    </row>
    <row r="31" spans="2:23" ht="13" thickBot="1">
      <c r="B31" s="59"/>
      <c r="C31" s="59"/>
      <c r="D31" s="59"/>
    </row>
    <row r="32" spans="2:23" ht="13" thickBot="1">
      <c r="B32" s="60" t="s">
        <v>189</v>
      </c>
      <c r="C32" s="61">
        <f>IF([1]données!C5="","",[1]données!I5)</f>
        <v>48</v>
      </c>
      <c r="F32" s="604" t="s">
        <v>190</v>
      </c>
      <c r="G32" s="604"/>
      <c r="H32" s="604"/>
      <c r="I32" s="604"/>
      <c r="J32" s="605"/>
      <c r="K32" s="62">
        <f>IF(C32="","",ROUNDDOWN(SUM(208.754-([1]données!I5*0.734)),0))</f>
        <v>173</v>
      </c>
      <c r="L32" s="36" t="s">
        <v>187</v>
      </c>
    </row>
    <row r="33" spans="1:23" ht="3.75" customHeight="1" thickBot="1"/>
    <row r="34" spans="1:23" ht="13" thickBot="1">
      <c r="A34" s="611"/>
      <c r="B34" s="640" t="str">
        <f>IF([1]données!C5="","Noter votre date de naissance dans la feuille données","")</f>
        <v/>
      </c>
      <c r="C34" s="640"/>
      <c r="D34" s="640"/>
      <c r="E34" s="640"/>
      <c r="F34" s="640"/>
      <c r="G34" s="63" t="s">
        <v>191</v>
      </c>
      <c r="K34" s="62">
        <f>IF(OR(F30="",C32=""),"",IF(AND(F30="",C32=""),"",K32-F30))</f>
        <v>125</v>
      </c>
      <c r="L34" s="36" t="s">
        <v>187</v>
      </c>
      <c r="W34" s="64"/>
    </row>
    <row r="35" spans="1:23">
      <c r="A35" s="611"/>
      <c r="B35" s="640"/>
      <c r="C35" s="640"/>
      <c r="D35" s="640"/>
      <c r="E35" s="640"/>
      <c r="F35" s="640"/>
    </row>
    <row r="36" spans="1:23">
      <c r="A36" s="611"/>
      <c r="B36" s="65" t="s">
        <v>192</v>
      </c>
      <c r="D36" s="66"/>
      <c r="E36" s="66"/>
      <c r="F36" s="44"/>
    </row>
    <row r="37" spans="1:23">
      <c r="A37" s="611"/>
      <c r="B37" s="641" t="s">
        <v>193</v>
      </c>
      <c r="C37" s="641"/>
      <c r="D37" s="641"/>
      <c r="E37" s="641"/>
      <c r="F37" s="641"/>
      <c r="G37" s="641"/>
      <c r="H37" s="641"/>
      <c r="I37" s="641"/>
      <c r="J37" s="641"/>
      <c r="K37" s="641"/>
      <c r="L37" s="641"/>
      <c r="M37" s="641"/>
      <c r="N37" s="641"/>
      <c r="O37" s="641"/>
      <c r="P37" s="641"/>
      <c r="Q37" s="641"/>
      <c r="R37" s="641"/>
      <c r="S37" s="641"/>
      <c r="T37" s="67"/>
    </row>
    <row r="38" spans="1:23" ht="13" thickBot="1">
      <c r="A38" s="611"/>
      <c r="B38" s="641"/>
      <c r="C38" s="641"/>
      <c r="D38" s="641"/>
      <c r="E38" s="641"/>
      <c r="F38" s="641"/>
      <c r="G38" s="641"/>
      <c r="H38" s="641"/>
      <c r="I38" s="641"/>
      <c r="J38" s="641"/>
      <c r="K38" s="641"/>
      <c r="L38" s="641"/>
      <c r="M38" s="641"/>
      <c r="N38" s="641"/>
      <c r="O38" s="641"/>
      <c r="P38" s="641"/>
      <c r="Q38" s="641"/>
      <c r="R38" s="641"/>
      <c r="S38" s="641"/>
      <c r="T38" s="67"/>
    </row>
    <row r="39" spans="1:23" ht="13" thickBot="1">
      <c r="A39" s="611"/>
      <c r="B39" s="68" t="s">
        <v>194</v>
      </c>
      <c r="D39" s="66"/>
      <c r="E39" s="66"/>
      <c r="F39" s="66"/>
      <c r="G39" s="66"/>
      <c r="H39" s="44"/>
      <c r="I39" s="58">
        <v>181</v>
      </c>
      <c r="J39" s="36" t="s">
        <v>187</v>
      </c>
      <c r="M39" s="642">
        <v>40157</v>
      </c>
      <c r="N39" s="643"/>
      <c r="O39" s="614"/>
      <c r="P39" s="616" t="s">
        <v>188</v>
      </c>
      <c r="Q39" s="616"/>
      <c r="R39" s="616"/>
      <c r="S39" s="616"/>
      <c r="T39" s="616"/>
      <c r="U39" s="616"/>
      <c r="V39" s="616"/>
      <c r="W39" s="616"/>
    </row>
    <row r="40" spans="1:23" ht="5.25" customHeight="1" thickBot="1">
      <c r="A40" s="611"/>
      <c r="B40" s="68"/>
      <c r="D40" s="66"/>
      <c r="E40" s="66"/>
      <c r="F40" s="66"/>
      <c r="G40" s="66"/>
      <c r="H40" s="44"/>
      <c r="I40" s="69"/>
      <c r="M40" s="70"/>
      <c r="N40" s="71"/>
      <c r="O40" s="71"/>
      <c r="P40" s="72"/>
      <c r="Q40" s="72"/>
      <c r="R40" s="72"/>
      <c r="S40" s="72"/>
      <c r="T40" s="72"/>
      <c r="U40" s="72"/>
      <c r="V40" s="72"/>
      <c r="W40" s="72"/>
    </row>
    <row r="41" spans="1:23" ht="13" thickBot="1">
      <c r="A41" s="611"/>
      <c r="B41" s="68"/>
      <c r="D41" s="66"/>
      <c r="E41" s="63" t="str">
        <f>IF(OR(F30="",I39=""),""," Fq cardiaque de réserve réelle")</f>
        <v xml:space="preserve"> Fq cardiaque de réserve réelle</v>
      </c>
      <c r="F41" s="66"/>
      <c r="G41" s="66"/>
      <c r="H41" s="44"/>
      <c r="I41" s="73">
        <f>IF(OR(F30="",I39=""),"",I39-F30)</f>
        <v>133</v>
      </c>
      <c r="J41" s="36" t="str">
        <f>IF(OR(F30="",I39=""),"","pulsations /min")</f>
        <v>pulsations /min</v>
      </c>
      <c r="M41" s="70"/>
      <c r="N41" s="71"/>
      <c r="O41" s="71"/>
      <c r="P41" s="72"/>
      <c r="Q41" s="72"/>
      <c r="R41" s="72"/>
      <c r="S41" s="72"/>
      <c r="T41" s="72"/>
      <c r="U41" s="72"/>
      <c r="V41" s="72"/>
      <c r="W41" s="72"/>
    </row>
    <row r="42" spans="1:23" ht="13" thickBot="1">
      <c r="A42" s="611"/>
      <c r="B42" s="74"/>
      <c r="D42" s="66"/>
      <c r="E42" s="66"/>
      <c r="F42" s="44"/>
    </row>
    <row r="43" spans="1:23" ht="15.75" customHeight="1">
      <c r="A43" s="611"/>
      <c r="B43" s="66"/>
      <c r="D43" s="66"/>
      <c r="E43" s="569" t="s">
        <v>195</v>
      </c>
      <c r="F43" s="570"/>
      <c r="G43" s="570"/>
      <c r="H43" s="571"/>
      <c r="I43" s="572" t="s">
        <v>196</v>
      </c>
      <c r="J43" s="572"/>
      <c r="K43" s="572"/>
      <c r="L43" s="573"/>
      <c r="M43" s="576" t="s">
        <v>197</v>
      </c>
      <c r="N43" s="577"/>
      <c r="O43" s="577"/>
      <c r="P43" s="577"/>
      <c r="Q43" s="577"/>
      <c r="R43" s="578"/>
      <c r="S43" s="563" t="s">
        <v>198</v>
      </c>
      <c r="T43" s="564"/>
      <c r="U43" s="565"/>
      <c r="V43" s="75"/>
    </row>
    <row r="44" spans="1:23" ht="15">
      <c r="A44" s="611"/>
      <c r="B44" s="66"/>
      <c r="E44" s="543" t="s">
        <v>199</v>
      </c>
      <c r="F44" s="544"/>
      <c r="G44" s="539" t="s">
        <v>200</v>
      </c>
      <c r="H44" s="540"/>
      <c r="I44" s="574"/>
      <c r="J44" s="574"/>
      <c r="K44" s="574"/>
      <c r="L44" s="575"/>
      <c r="M44" s="579"/>
      <c r="N44" s="580"/>
      <c r="O44" s="580"/>
      <c r="P44" s="580"/>
      <c r="Q44" s="580"/>
      <c r="R44" s="581"/>
      <c r="S44" s="566"/>
      <c r="T44" s="567"/>
      <c r="U44" s="568"/>
      <c r="V44" s="75"/>
    </row>
    <row r="45" spans="1:23" ht="16" thickBot="1">
      <c r="A45" s="611"/>
      <c r="B45" s="66"/>
      <c r="D45" s="76"/>
      <c r="E45" s="543" t="s">
        <v>201</v>
      </c>
      <c r="F45" s="544"/>
      <c r="G45" s="539" t="s">
        <v>202</v>
      </c>
      <c r="H45" s="540"/>
      <c r="I45" s="541" t="s">
        <v>203</v>
      </c>
      <c r="J45" s="542"/>
      <c r="K45" s="542"/>
      <c r="L45" s="542"/>
      <c r="M45" s="545" t="s">
        <v>204</v>
      </c>
      <c r="N45" s="546"/>
      <c r="O45" s="546"/>
      <c r="P45" s="546"/>
      <c r="Q45" s="546"/>
      <c r="R45" s="546"/>
      <c r="S45" s="77"/>
      <c r="T45" s="78"/>
      <c r="U45" s="79"/>
      <c r="V45" s="75"/>
    </row>
    <row r="46" spans="1:23" ht="13" thickBot="1">
      <c r="A46" s="611"/>
      <c r="B46" s="66"/>
      <c r="C46" s="619" t="s">
        <v>169</v>
      </c>
      <c r="D46" s="620"/>
      <c r="E46" s="547">
        <v>0.6</v>
      </c>
      <c r="F46" s="548"/>
      <c r="G46" s="549">
        <v>0.7</v>
      </c>
      <c r="H46" s="550"/>
      <c r="I46" s="551">
        <v>0.8</v>
      </c>
      <c r="J46" s="552"/>
      <c r="K46" s="553">
        <v>0.85</v>
      </c>
      <c r="L46" s="554"/>
      <c r="M46" s="555">
        <v>0.9</v>
      </c>
      <c r="N46" s="556"/>
      <c r="O46" s="557">
        <v>1</v>
      </c>
      <c r="P46" s="556"/>
      <c r="Q46" s="558">
        <v>1.05</v>
      </c>
      <c r="R46" s="559"/>
      <c r="S46" s="485">
        <v>1.1000000000000001</v>
      </c>
      <c r="T46" s="486"/>
      <c r="U46" s="487"/>
      <c r="V46" s="80"/>
    </row>
    <row r="47" spans="1:23" s="82" customFormat="1" ht="24" customHeight="1" thickTop="1" thickBot="1">
      <c r="A47" s="611"/>
      <c r="B47" s="66"/>
      <c r="C47" s="617" t="s">
        <v>205</v>
      </c>
      <c r="D47" s="618"/>
      <c r="E47" s="488">
        <f>IF(Q15="","",Q15*E46)</f>
        <v>10.799999999999999</v>
      </c>
      <c r="F47" s="488"/>
      <c r="G47" s="489">
        <f>IF(Q15="","",Q15*G46)</f>
        <v>12.6</v>
      </c>
      <c r="H47" s="490"/>
      <c r="I47" s="560">
        <f>IF(Q15="","",Q15*I46)</f>
        <v>14.4</v>
      </c>
      <c r="J47" s="560"/>
      <c r="K47" s="561">
        <f>IF(Q15="","",Q15*K46)</f>
        <v>15.299999999999999</v>
      </c>
      <c r="L47" s="562"/>
      <c r="M47" s="499">
        <f>IF(Q15="","",Q15*M46)</f>
        <v>16.2</v>
      </c>
      <c r="N47" s="499"/>
      <c r="O47" s="500">
        <f>IF(Q15="","",Q15*O46)</f>
        <v>18</v>
      </c>
      <c r="P47" s="501"/>
      <c r="Q47" s="499">
        <f>IF(Q15="","",Q15*Q46)</f>
        <v>18.900000000000002</v>
      </c>
      <c r="R47" s="499"/>
      <c r="S47" s="532">
        <f>IF(Q15="","",Q15*S46)</f>
        <v>19.8</v>
      </c>
      <c r="T47" s="533"/>
      <c r="U47" s="534"/>
      <c r="V47" s="81"/>
    </row>
    <row r="48" spans="1:23" ht="5.25" customHeight="1" thickTop="1">
      <c r="A48" s="611"/>
      <c r="B48" s="66"/>
      <c r="C48" s="621" t="s">
        <v>206</v>
      </c>
      <c r="D48" s="622"/>
      <c r="E48" s="469">
        <f>IF(K32="",(IF(I39="","72%",(I39-F30)*0.72+F30)),(IF(I39="",((K32-F30)*0.72+F30),(I39-F30)*0.72+F30)))</f>
        <v>143.76</v>
      </c>
      <c r="F48" s="470"/>
      <c r="G48" s="473">
        <f>IF(K32="",(IF(I39="","80%",(I39-F30)*0.8+F30)),(IF(I39="",((K32-F30)*0.8+F30),(I39-F30)*0.8+F30)))</f>
        <v>154.4</v>
      </c>
      <c r="H48" s="474"/>
      <c r="I48" s="477">
        <f>IF(K32="",(IF(I39="","85%",(I39-F30)*0.85+F30)),(IF(I39="",((K32-F30)*0.85+F30),(I39-F30)*0.85+F30)))</f>
        <v>161.05000000000001</v>
      </c>
      <c r="J48" s="478"/>
      <c r="K48" s="481">
        <f>IF(K32="",(IF(I39="","87%",(I39-F30)*0.87+F30)),(IF(I39="",((K32-F30)*0.87+F30),(I39-F30)*0.87+F30)))</f>
        <v>163.70999999999998</v>
      </c>
      <c r="L48" s="482"/>
      <c r="M48" s="527">
        <f>IF(K32="",(IF(I39="","90%",(I39-F30)*0.9+F30)),(IF(I39="",((K32-F30)*0.9+F30),(I39-F30)*0.9+F30)))</f>
        <v>167.7</v>
      </c>
      <c r="N48" s="528"/>
      <c r="O48" s="520">
        <f>IF(K32="",(IF(I39="","95%",(I39-F30)*0.95+F30)),(IF(I39="",((K32-F30)*0.95+F30),(I39-F30)*0.95+F30)))</f>
        <v>174.35</v>
      </c>
      <c r="P48" s="521"/>
      <c r="Q48" s="524">
        <f>IF(K32="",(IF(I39="","96%",(I39-F30)*0.96+F30)),(IF(I39="",((K32-F30)*0.96+F30),(I39-F30)*0.96+F30)))</f>
        <v>175.68</v>
      </c>
      <c r="R48" s="525"/>
      <c r="S48" s="535">
        <f>IF(K32="",(IF(I39="","97%",(I39-F30)*0.97+F30)),(IF(I39="",((K32-F30)*0.97+F30),(I39-F30)*0.97+F30)))</f>
        <v>177.01</v>
      </c>
      <c r="T48" s="536"/>
      <c r="U48" s="83"/>
      <c r="V48" s="84"/>
    </row>
    <row r="49" spans="1:24" ht="25.5" customHeight="1">
      <c r="A49" s="611"/>
      <c r="B49" s="66"/>
      <c r="C49" s="623"/>
      <c r="D49" s="624"/>
      <c r="E49" s="471"/>
      <c r="F49" s="472"/>
      <c r="G49" s="475"/>
      <c r="H49" s="476"/>
      <c r="I49" s="479"/>
      <c r="J49" s="480"/>
      <c r="K49" s="483"/>
      <c r="L49" s="484"/>
      <c r="M49" s="529"/>
      <c r="N49" s="530"/>
      <c r="O49" s="522"/>
      <c r="P49" s="523"/>
      <c r="Q49" s="522"/>
      <c r="R49" s="526"/>
      <c r="S49" s="537"/>
      <c r="T49" s="538"/>
      <c r="U49" s="85"/>
      <c r="V49" s="84"/>
      <c r="W49" s="502" t="s">
        <v>207</v>
      </c>
      <c r="X49" s="502"/>
    </row>
    <row r="50" spans="1:24" ht="25.5" customHeight="1" thickBot="1">
      <c r="A50" s="611"/>
      <c r="B50" s="66"/>
      <c r="C50" s="625" t="s">
        <v>208</v>
      </c>
      <c r="D50" s="626"/>
      <c r="E50" s="463" t="s">
        <v>209</v>
      </c>
      <c r="F50" s="464"/>
      <c r="G50" s="465" t="s">
        <v>210</v>
      </c>
      <c r="H50" s="466"/>
      <c r="I50" s="467" t="s">
        <v>211</v>
      </c>
      <c r="J50" s="468"/>
      <c r="K50" s="468"/>
      <c r="L50" s="468"/>
      <c r="M50" s="531"/>
      <c r="N50" s="515"/>
      <c r="O50" s="508" t="s">
        <v>212</v>
      </c>
      <c r="P50" s="515"/>
      <c r="Q50" s="508"/>
      <c r="R50" s="509"/>
      <c r="S50" s="510" t="s">
        <v>213</v>
      </c>
      <c r="T50" s="511"/>
      <c r="U50" s="512"/>
      <c r="V50" s="84"/>
      <c r="W50" s="502"/>
      <c r="X50" s="502"/>
    </row>
    <row r="51" spans="1:24" ht="13" thickBot="1">
      <c r="A51" s="611"/>
      <c r="B51" s="66"/>
      <c r="C51" s="627" t="s">
        <v>214</v>
      </c>
      <c r="D51" s="628"/>
      <c r="E51" s="491" t="s">
        <v>215</v>
      </c>
      <c r="F51" s="492"/>
      <c r="G51" s="493" t="s">
        <v>216</v>
      </c>
      <c r="H51" s="494"/>
      <c r="I51" s="495" t="s">
        <v>217</v>
      </c>
      <c r="J51" s="496"/>
      <c r="K51" s="497">
        <f>IF(I48="",IF([1]seuil!D6="","heure",[1]seuil!D6),K47)</f>
        <v>15.299999999999999</v>
      </c>
      <c r="L51" s="498"/>
      <c r="M51" s="513" t="s">
        <v>218</v>
      </c>
      <c r="N51" s="514"/>
      <c r="O51" s="516">
        <f>IF(Q15="","&lt;2-3 km",Q15*9/60)</f>
        <v>2.7</v>
      </c>
      <c r="P51" s="517"/>
      <c r="Q51" s="518">
        <f>IF([1]VMA!G17="","",ROUND([1]VMA!G17,-1))</f>
        <v>390</v>
      </c>
      <c r="R51" s="519"/>
      <c r="S51" s="454">
        <f>IF(Q15="","",Q15/3.6*30*1.1)</f>
        <v>165</v>
      </c>
      <c r="T51" s="455"/>
      <c r="U51" s="456"/>
      <c r="V51" s="86"/>
      <c r="W51" s="502"/>
      <c r="X51" s="502"/>
    </row>
    <row r="52" spans="1:24" ht="26.25" customHeight="1" thickBot="1">
      <c r="A52" s="611"/>
      <c r="B52" s="66"/>
      <c r="C52" s="629" t="s">
        <v>219</v>
      </c>
      <c r="D52" s="630"/>
      <c r="E52" s="457">
        <f>IF(W52="","70% du kilométrage hebdomadaire.",W52*0.7)</f>
        <v>49</v>
      </c>
      <c r="F52" s="458"/>
      <c r="G52" s="458"/>
      <c r="H52" s="459"/>
      <c r="I52" s="460">
        <f>IF(W52="","15% du kilométrage hebdomadaire.",W52*0.15)</f>
        <v>10.5</v>
      </c>
      <c r="J52" s="461"/>
      <c r="K52" s="461"/>
      <c r="L52" s="462"/>
      <c r="M52" s="503">
        <f>IF(W52="","10% du kilométrage hebdomadaire.",W52*0.1)</f>
        <v>7</v>
      </c>
      <c r="N52" s="503"/>
      <c r="O52" s="503"/>
      <c r="P52" s="503"/>
      <c r="Q52" s="503"/>
      <c r="R52" s="504"/>
      <c r="S52" s="505">
        <f>IF(W52="","5% du kilométrage.",W52*0.05)</f>
        <v>3.5</v>
      </c>
      <c r="T52" s="506"/>
      <c r="U52" s="507"/>
      <c r="V52" s="87"/>
      <c r="W52" s="88">
        <v>70</v>
      </c>
    </row>
    <row r="53" spans="1:24" ht="16.5" customHeight="1" thickBot="1">
      <c r="A53" s="611"/>
      <c r="B53" s="66"/>
      <c r="C53" s="646" t="s">
        <v>220</v>
      </c>
      <c r="D53" s="647"/>
      <c r="G53" s="89">
        <f>IF(AND(I39="",K32=""),"",ROUNDUP(G48-2.5*G48/100,0))</f>
        <v>151</v>
      </c>
      <c r="H53" s="90">
        <f>IF(AND(I39="",K32=""),"",ROUNDDOWN(G48+2.5*G48/100,0))</f>
        <v>158</v>
      </c>
      <c r="I53" s="91"/>
      <c r="K53" s="92">
        <f>IF(AND(I39="",K32=""),"",ROUNDUP(K48-2.5*K48/100,0))</f>
        <v>160</v>
      </c>
      <c r="L53" s="93">
        <f>IF(AND(I39="",K32=""),"",ROUNDDOWN(K48+2.5*K48/100,0))</f>
        <v>167</v>
      </c>
      <c r="S53" s="452">
        <f>IF(AND(I39="",K32=""),"",S48)</f>
        <v>177.01</v>
      </c>
      <c r="T53" s="453"/>
      <c r="U53" s="94">
        <f>IF(K32="",(IF(I39="","",(I39))),(IF(I39="",((K32)),(I39))))</f>
        <v>181</v>
      </c>
    </row>
    <row r="54" spans="1:24" s="95" customFormat="1" ht="16.5" customHeight="1" thickBot="1">
      <c r="A54" s="611"/>
      <c r="B54" s="66"/>
      <c r="C54" s="631" t="s">
        <v>221</v>
      </c>
      <c r="D54" s="632"/>
      <c r="G54" s="69"/>
      <c r="H54" s="69"/>
      <c r="J54" s="96"/>
      <c r="K54" s="69"/>
      <c r="S54" s="97"/>
      <c r="T54" s="97"/>
      <c r="U54" s="97"/>
      <c r="V54" s="97"/>
    </row>
    <row r="55" spans="1:24" ht="13.5" customHeight="1">
      <c r="B55" s="36" t="s">
        <v>222</v>
      </c>
    </row>
    <row r="56" spans="1:24" ht="6" customHeight="1" thickBot="1"/>
    <row r="57" spans="1:24" ht="13" thickBot="1">
      <c r="A57" s="612"/>
      <c r="B57" s="98" t="s">
        <v>223</v>
      </c>
      <c r="C57" s="633" t="s">
        <v>224</v>
      </c>
      <c r="D57" s="634"/>
      <c r="E57" s="635"/>
      <c r="F57" s="99" t="s">
        <v>180</v>
      </c>
      <c r="G57" s="636" t="s">
        <v>225</v>
      </c>
      <c r="H57" s="637"/>
    </row>
    <row r="58" spans="1:24">
      <c r="A58" s="612"/>
      <c r="B58" s="100"/>
      <c r="C58" s="101"/>
      <c r="D58" s="102"/>
      <c r="E58" s="103"/>
      <c r="F58" s="104"/>
      <c r="G58" s="619"/>
      <c r="H58" s="620"/>
    </row>
    <row r="59" spans="1:24" ht="15">
      <c r="A59" s="612"/>
      <c r="B59" s="105"/>
      <c r="C59" s="106"/>
      <c r="D59" s="107"/>
      <c r="E59" s="108"/>
      <c r="F59" s="109"/>
      <c r="G59" s="638"/>
      <c r="H59" s="639"/>
      <c r="L59" s="110"/>
    </row>
    <row r="60" spans="1:24">
      <c r="A60" s="612"/>
      <c r="B60" s="105"/>
      <c r="C60" s="106"/>
      <c r="D60" s="107"/>
      <c r="E60" s="108"/>
      <c r="F60" s="109"/>
      <c r="G60" s="638"/>
      <c r="H60" s="639"/>
    </row>
    <row r="61" spans="1:24">
      <c r="A61" s="612"/>
      <c r="B61" s="105"/>
      <c r="C61" s="106"/>
      <c r="D61" s="107"/>
      <c r="E61" s="108"/>
      <c r="F61" s="109"/>
      <c r="G61" s="638"/>
      <c r="H61" s="639"/>
    </row>
    <row r="62" spans="1:24">
      <c r="A62" s="612"/>
      <c r="B62" s="105"/>
      <c r="C62" s="106"/>
      <c r="D62" s="107"/>
      <c r="E62" s="108"/>
      <c r="F62" s="109"/>
      <c r="G62" s="638"/>
      <c r="H62" s="639"/>
    </row>
    <row r="63" spans="1:24">
      <c r="A63" s="612"/>
      <c r="B63" s="105"/>
      <c r="C63" s="106"/>
      <c r="D63" s="107"/>
      <c r="E63" s="108"/>
      <c r="F63" s="109"/>
      <c r="G63" s="638"/>
      <c r="H63" s="639"/>
    </row>
    <row r="64" spans="1:24">
      <c r="A64" s="612"/>
      <c r="B64" s="105"/>
      <c r="C64" s="106"/>
      <c r="D64" s="107"/>
      <c r="E64" s="108"/>
      <c r="F64" s="109"/>
      <c r="G64" s="638"/>
      <c r="H64" s="639"/>
    </row>
    <row r="65" spans="1:8" ht="13" thickBot="1">
      <c r="A65" s="612"/>
      <c r="B65" s="111"/>
      <c r="C65" s="112"/>
      <c r="D65" s="113"/>
      <c r="E65" s="114"/>
      <c r="F65" s="115"/>
      <c r="G65" s="644"/>
      <c r="H65" s="645"/>
    </row>
  </sheetData>
  <sheetProtection password="CE2A" sheet="1" objects="1" scenarios="1"/>
  <mergeCells count="100">
    <mergeCell ref="G62:H62"/>
    <mergeCell ref="G63:H63"/>
    <mergeCell ref="G64:H64"/>
    <mergeCell ref="G65:H65"/>
    <mergeCell ref="C53:D53"/>
    <mergeCell ref="K51:L51"/>
    <mergeCell ref="M51:N51"/>
    <mergeCell ref="S53:T53"/>
    <mergeCell ref="C54:D54"/>
    <mergeCell ref="A57:A65"/>
    <mergeCell ref="C57:E57"/>
    <mergeCell ref="G57:H57"/>
    <mergeCell ref="G58:H58"/>
    <mergeCell ref="G59:H59"/>
    <mergeCell ref="G60:H60"/>
    <mergeCell ref="G61:H61"/>
    <mergeCell ref="A34:A54"/>
    <mergeCell ref="B34:F35"/>
    <mergeCell ref="B37:S38"/>
    <mergeCell ref="M39:O39"/>
    <mergeCell ref="P39:W39"/>
    <mergeCell ref="C52:D52"/>
    <mergeCell ref="E52:H52"/>
    <mergeCell ref="I52:L52"/>
    <mergeCell ref="M52:R52"/>
    <mergeCell ref="S52:U52"/>
    <mergeCell ref="W49:X51"/>
    <mergeCell ref="C50:D50"/>
    <mergeCell ref="E50:F50"/>
    <mergeCell ref="G50:H50"/>
    <mergeCell ref="I50:L50"/>
    <mergeCell ref="M50:N50"/>
    <mergeCell ref="O50:P50"/>
    <mergeCell ref="Q50:R50"/>
    <mergeCell ref="S50:U50"/>
    <mergeCell ref="O51:P51"/>
    <mergeCell ref="Q51:R51"/>
    <mergeCell ref="S51:U51"/>
    <mergeCell ref="C51:D51"/>
    <mergeCell ref="E51:F51"/>
    <mergeCell ref="G51:H51"/>
    <mergeCell ref="I51:J51"/>
    <mergeCell ref="Q47:R47"/>
    <mergeCell ref="S47:U47"/>
    <mergeCell ref="C48:D49"/>
    <mergeCell ref="E48:F49"/>
    <mergeCell ref="G48:H49"/>
    <mergeCell ref="I48:J49"/>
    <mergeCell ref="K48:L49"/>
    <mergeCell ref="M48:N49"/>
    <mergeCell ref="O48:P49"/>
    <mergeCell ref="Q48:R49"/>
    <mergeCell ref="S48:T49"/>
    <mergeCell ref="O46:P46"/>
    <mergeCell ref="Q46:R46"/>
    <mergeCell ref="S46:U46"/>
    <mergeCell ref="C47:D47"/>
    <mergeCell ref="E47:F47"/>
    <mergeCell ref="G47:H47"/>
    <mergeCell ref="I47:J47"/>
    <mergeCell ref="K47:L47"/>
    <mergeCell ref="M47:N47"/>
    <mergeCell ref="O47:P47"/>
    <mergeCell ref="C46:D46"/>
    <mergeCell ref="E46:F46"/>
    <mergeCell ref="G46:H46"/>
    <mergeCell ref="I46:J46"/>
    <mergeCell ref="K46:L46"/>
    <mergeCell ref="M46:N46"/>
    <mergeCell ref="G44:H44"/>
    <mergeCell ref="S44:U44"/>
    <mergeCell ref="E45:F45"/>
    <mergeCell ref="G45:H45"/>
    <mergeCell ref="I45:L45"/>
    <mergeCell ref="M45:R45"/>
    <mergeCell ref="I43:L44"/>
    <mergeCell ref="M43:R44"/>
    <mergeCell ref="S43:U43"/>
    <mergeCell ref="E44:F44"/>
    <mergeCell ref="E43:H43"/>
    <mergeCell ref="F32:J32"/>
    <mergeCell ref="J17:P17"/>
    <mergeCell ref="Q17:S17"/>
    <mergeCell ref="J19:W21"/>
    <mergeCell ref="B24:F24"/>
    <mergeCell ref="C25:D25"/>
    <mergeCell ref="E25:I25"/>
    <mergeCell ref="C26:D26"/>
    <mergeCell ref="B27:E27"/>
    <mergeCell ref="B30:E30"/>
    <mergeCell ref="J30:K30"/>
    <mergeCell ref="L30:S30"/>
    <mergeCell ref="F15:I15"/>
    <mergeCell ref="O15:P15"/>
    <mergeCell ref="Q15:S15"/>
    <mergeCell ref="C1:W1"/>
    <mergeCell ref="G7:H7"/>
    <mergeCell ref="O7:W9"/>
    <mergeCell ref="G9:H9"/>
    <mergeCell ref="P10:R12"/>
  </mergeCells>
  <conditionalFormatting sqref="B39:B42 B36:B37">
    <cfRule type="cellIs" dxfId="8" priority="1" stopIfTrue="1" operator="equal">
      <formula>"Noter votre date de naissance dans la feuille données"</formula>
    </cfRule>
  </conditionalFormatting>
  <conditionalFormatting sqref="J26">
    <cfRule type="cellIs" dxfId="7" priority="2" stopIfTrue="1" operator="notEqual">
      <formula>""""""</formula>
    </cfRule>
  </conditionalFormatting>
  <conditionalFormatting sqref="J27:J28">
    <cfRule type="cellIs" dxfId="6" priority="3" stopIfTrue="1" operator="notEqual">
      <formula>""""""</formula>
    </cfRule>
  </conditionalFormatting>
  <conditionalFormatting sqref="B34:F35">
    <cfRule type="cellIs" dxfId="5" priority="4" stopIfTrue="1" operator="equal">
      <formula>"Noter votre date de naissance dans la feuille données"</formula>
    </cfRule>
  </conditionalFormatting>
  <conditionalFormatting sqref="F27 P10:R12 M18:O18 I41">
    <cfRule type="cellIs" dxfId="4" priority="5" stopIfTrue="1" operator="equal">
      <formula>""</formula>
    </cfRule>
  </conditionalFormatting>
  <hyperlinks>
    <hyperlink ref="B32" location="données!B5" tooltip="Aller à  la feuille données pour saisir une date de naissance." display="votre âge :"/>
    <hyperlink ref="I45:L45" location="seuil!O9" tooltip="Aller sur la feuille SEUIL" display="footing rapide (seuil)"/>
    <hyperlink ref="M45:R45" location="VMA!L9" tooltip="Aller vers la feuille VMA." display="intervalles"/>
    <hyperlink ref="B34:F35" location="données!B5" tooltip="Aller à  la feuille donnée au niveau de la case de saisie de la date de naissance." display="données!B5"/>
    <hyperlink ref="P10:R12" location="allures!A57" tooltip="Aller au tableau de saisie des résultats des tests VMA." display="allures!A57"/>
  </hyperlinks>
  <printOptions horizontalCentered="1" verticalCentered="1"/>
  <pageMargins left="0" right="0" top="0" bottom="0" header="0" footer="0"/>
  <pageSetup paperSize="9" scale="68" orientation="landscape" horizontalDpi="360" verticalDpi="36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R55"/>
  <sheetViews>
    <sheetView showGridLines="0" showRowColHeaders="0" topLeftCell="G12" zoomScale="111" workbookViewId="0">
      <selection activeCell="O9" sqref="O9"/>
    </sheetView>
  </sheetViews>
  <sheetFormatPr baseColWidth="10" defaultColWidth="11.5" defaultRowHeight="12" x14ac:dyDescent="0"/>
  <cols>
    <col min="1" max="1" width="4" style="36" customWidth="1"/>
    <col min="2" max="2" width="15.5" style="36" customWidth="1"/>
    <col min="3" max="3" width="7.33203125" style="36" customWidth="1"/>
    <col min="4" max="4" width="10" style="36" customWidth="1"/>
    <col min="5" max="5" width="10.6640625" style="66" customWidth="1"/>
    <col min="6" max="6" width="6.1640625" style="66" customWidth="1"/>
    <col min="7" max="7" width="7.83203125" style="36" customWidth="1"/>
    <col min="8" max="8" width="4.5" style="36" customWidth="1"/>
    <col min="9" max="9" width="4.83203125" style="36" customWidth="1"/>
    <col min="10" max="10" width="9.1640625" style="36" customWidth="1"/>
    <col min="11" max="11" width="3.5" style="36" customWidth="1"/>
    <col min="12" max="12" width="7.1640625" style="36" customWidth="1"/>
    <col min="13" max="13" width="4.33203125" style="36" customWidth="1"/>
    <col min="14" max="14" width="9.1640625" style="36" customWidth="1"/>
    <col min="15" max="15" width="11.33203125" style="36" customWidth="1"/>
    <col min="16" max="16" width="7.5" style="48" customWidth="1"/>
    <col min="17" max="18" width="5.5" style="36" customWidth="1"/>
    <col min="19" max="16384" width="11.5" style="36"/>
  </cols>
  <sheetData>
    <row r="1" spans="2:18" ht="23.25" customHeight="1" thickBot="1">
      <c r="C1" s="398" t="s">
        <v>257</v>
      </c>
      <c r="D1" s="399"/>
      <c r="E1" s="399"/>
      <c r="F1" s="399"/>
      <c r="G1" s="399"/>
      <c r="H1" s="400"/>
    </row>
    <row r="2" spans="2:18" ht="18" customHeight="1" thickBot="1">
      <c r="B2" s="648" t="str">
        <f>IF(F3="","Saisir les résultats d'un test VMA dans la feuille allures","")</f>
        <v/>
      </c>
      <c r="C2" s="648"/>
      <c r="D2" s="648"/>
      <c r="E2" s="648"/>
      <c r="F2" s="648"/>
      <c r="G2" s="648"/>
      <c r="H2" s="648"/>
    </row>
    <row r="3" spans="2:18" ht="13" thickBot="1">
      <c r="B3" s="649" t="s">
        <v>258</v>
      </c>
      <c r="C3" s="649"/>
      <c r="D3" s="649"/>
      <c r="E3" s="650"/>
      <c r="F3" s="651">
        <f>[1]allures!K47</f>
        <v>15.299999999999999</v>
      </c>
      <c r="G3" s="652"/>
      <c r="J3" s="36" t="str">
        <f>IF(OR(D6=0,D6=""),"Par défaut, la vitesse SEUIL prise en compte est celle de la feuille allures","")</f>
        <v/>
      </c>
      <c r="M3" s="126"/>
    </row>
    <row r="4" spans="2:18" ht="17.25" customHeight="1" thickBot="1">
      <c r="D4" s="127" t="str">
        <f>IF(OR(G5="",G5=0),"",IF(G5&gt;=10,IF(G5&lt;=15,"","La distance est trop grande pour définir une vitesse SEUIL"),"La distance est trop petite pour définir la vitesse SEUIL"))</f>
        <v/>
      </c>
      <c r="E4" s="128"/>
      <c r="F4" s="128"/>
      <c r="G4" s="129"/>
      <c r="J4" s="130"/>
      <c r="L4" s="130" t="str">
        <f>IF(OR(D6=0,D6=""),"Pour être plus précis, saisir le résultat d'un test pratiqué.","")</f>
        <v/>
      </c>
    </row>
    <row r="5" spans="2:18" ht="13" thickBot="1">
      <c r="B5" s="610" t="s">
        <v>259</v>
      </c>
      <c r="C5" s="610"/>
      <c r="D5" s="610"/>
      <c r="E5" s="610"/>
      <c r="F5" s="653"/>
      <c r="G5" s="131">
        <v>10.1</v>
      </c>
      <c r="H5" s="36" t="str">
        <f>IF(G5="","km","")</f>
        <v/>
      </c>
      <c r="I5" s="36" t="s">
        <v>260</v>
      </c>
      <c r="J5" s="132"/>
      <c r="K5" s="36" t="s">
        <v>261</v>
      </c>
      <c r="L5" s="132">
        <v>39</v>
      </c>
      <c r="M5" s="36" t="s">
        <v>177</v>
      </c>
      <c r="N5" s="133">
        <v>21</v>
      </c>
      <c r="O5" s="36" t="s">
        <v>178</v>
      </c>
    </row>
    <row r="6" spans="2:18" ht="13" thickBot="1">
      <c r="B6" s="666" t="str">
        <f>IF(OR(OR(G5="",G5=0),J5+L5+N5=0),"","vitesse SEUIL réelle")</f>
        <v>vitesse SEUIL réelle</v>
      </c>
      <c r="C6" s="667"/>
      <c r="D6" s="134">
        <f>IF(OR(G5=0,J5+L5+N5=0),"",(G5/(J5+L5/60+N5/3600)))</f>
        <v>15.400254129606097</v>
      </c>
      <c r="F6" s="36"/>
      <c r="P6" s="641" t="str">
        <f>IF(O9&gt;15000,"La distance doit être inférieure à 15000 m !","")</f>
        <v/>
      </c>
      <c r="Q6" s="654"/>
      <c r="R6" s="654"/>
    </row>
    <row r="7" spans="2:18" ht="12.75" customHeight="1">
      <c r="B7" s="36" t="s">
        <v>262</v>
      </c>
      <c r="P7" s="654"/>
      <c r="Q7" s="654"/>
      <c r="R7" s="654"/>
    </row>
    <row r="8" spans="2:18" ht="13" thickBot="1">
      <c r="P8" s="654"/>
      <c r="Q8" s="654"/>
      <c r="R8" s="654"/>
    </row>
    <row r="9" spans="2:18" ht="13" thickBot="1">
      <c r="B9" s="37" t="s">
        <v>263</v>
      </c>
      <c r="E9" s="655" t="s">
        <v>264</v>
      </c>
      <c r="F9" s="604"/>
      <c r="G9" s="604"/>
      <c r="H9" s="604"/>
      <c r="I9" s="604"/>
      <c r="J9" s="604"/>
      <c r="K9" s="604"/>
      <c r="L9" s="604"/>
      <c r="M9" s="604"/>
      <c r="N9" s="605"/>
      <c r="O9" s="135">
        <v>6800</v>
      </c>
      <c r="P9" s="48" t="str">
        <f>IF(O9="","en mètres","")</f>
        <v/>
      </c>
    </row>
    <row r="10" spans="2:18">
      <c r="B10" s="36" t="s">
        <v>265</v>
      </c>
      <c r="F10" s="36"/>
    </row>
    <row r="11" spans="2:18" ht="3.75" customHeight="1" thickBot="1">
      <c r="F11" s="36"/>
      <c r="H11" s="136"/>
      <c r="I11" s="136"/>
      <c r="J11" s="136"/>
      <c r="K11" s="136"/>
      <c r="L11" s="136"/>
    </row>
    <row r="12" spans="2:18" ht="13" thickBot="1">
      <c r="H12" s="136"/>
      <c r="I12" s="136"/>
      <c r="J12" s="136"/>
      <c r="K12" s="136"/>
      <c r="L12" s="136"/>
      <c r="N12" s="137">
        <f>IF(O9&lt;100,"",100)</f>
        <v>100</v>
      </c>
      <c r="O12" s="48" t="str">
        <f>IF(O9&lt;100,"","1/4 de tour")</f>
        <v>1/4 de tour</v>
      </c>
      <c r="P12" s="138">
        <f>IF(OR(D6=0,D6=""),IF(F3="","",IF(N12="","",INT(N12/F3/1000*60))),IF(N12="","",INT(N12/D6/1000*60)))</f>
        <v>0</v>
      </c>
      <c r="Q12" s="139">
        <f>IF(OR(D6=0,D6=""),IF(F3="","",IF(N12="","",((N12/F3/1000*60)-INT(N12/F3/1000*60))*60)),IF(N12="","",((N12/D6/1000*60)-INT(N12/D6/1000*60))*60))</f>
        <v>23.376237623762378</v>
      </c>
    </row>
    <row r="13" spans="2:18" ht="13" thickBot="1">
      <c r="B13" s="37" t="s">
        <v>266</v>
      </c>
      <c r="H13" s="136"/>
      <c r="I13" s="136"/>
      <c r="J13" s="136"/>
      <c r="K13" s="136"/>
      <c r="L13" s="136"/>
      <c r="N13" s="137">
        <f>IF(O9&lt;200,"",200)</f>
        <v>200</v>
      </c>
      <c r="O13" s="48" t="str">
        <f>IF(O9&lt;200,"","1/2 de tour")</f>
        <v>1/2 de tour</v>
      </c>
      <c r="P13" s="138">
        <f>IF(OR(D6=0,D6=""),IF(F3="","",IF(N13="","",INT(N13/F3/1000*60))),IF(N13="","",INT(N13/D6/1000*60)))</f>
        <v>0</v>
      </c>
      <c r="Q13" s="139">
        <f>IF(OR(D6=0,D6=""),IF(F3="","",IF(N13="","",((N13/F3/1000*60)-INT(N13/F3/1000*60))*60)),IF(N13="","",((N13/D6/1000*60)-INT(N13/D6/1000*60))*60))</f>
        <v>46.752475247524757</v>
      </c>
    </row>
    <row r="14" spans="2:18" ht="13" thickBot="1">
      <c r="B14" s="36" t="s">
        <v>267</v>
      </c>
      <c r="H14" s="136"/>
      <c r="I14" s="136"/>
      <c r="J14" s="136"/>
      <c r="K14" s="136"/>
      <c r="L14" s="136"/>
      <c r="N14" s="137">
        <f>IF(O9&lt;400,"",400)</f>
        <v>400</v>
      </c>
      <c r="O14" s="48" t="str">
        <f>IF(O9&lt;400,"","1 tour")</f>
        <v>1 tour</v>
      </c>
      <c r="P14" s="138">
        <f>IF(OR(D6=0,D6=""),IF(F3="","",IF(N14="","",INT(N14/F3/1000*60))),IF(N14="","",INT(N14/D6/1000*60)))</f>
        <v>1</v>
      </c>
      <c r="Q14" s="139">
        <f>IF(OR(D6=0,D6=""),IF(F3="","",IF(N14="","",((N14/F3/1000*60)-INT(N14/F3/1000*60))*60)),IF(N14="","",((N14/D6/1000*60)-INT(N14/D6/1000*60))*60))</f>
        <v>33.504950495049506</v>
      </c>
    </row>
    <row r="15" spans="2:18" ht="13" thickBot="1">
      <c r="B15" s="36" t="s">
        <v>268</v>
      </c>
      <c r="N15" s="137">
        <f>IF(O9&lt;800,IF(AND(O9&gt;500,O9&lt;=700),600,""),800)</f>
        <v>800</v>
      </c>
      <c r="O15" s="48" t="str">
        <f>IF(O9&lt;800,IF(AND(O9&gt;500,O9&lt;=700),"1 tour 1/2",""),"2 tours")</f>
        <v>2 tours</v>
      </c>
      <c r="P15" s="138">
        <f>IF(OR(D6=0,D6=""),IF(F3="","",IF(N15="","",INT(N15/F3/1000*60))),IF(N15="","",INT(N15/D6/1000*60)))</f>
        <v>3</v>
      </c>
      <c r="Q15" s="139">
        <f>IF(OR(D6=0,D6=""),IF(F3="","",IF(N15="","",((N15/F3/1000*60)-INT(N15/F3/1000*60))*60)),IF(N15="","",((N15/D6/1000*60)-INT(N15/D6/1000*60))*60))</f>
        <v>7.0099009900990161</v>
      </c>
    </row>
    <row r="16" spans="2:18" ht="13" thickBot="1">
      <c r="B16" s="37" t="s">
        <v>269</v>
      </c>
      <c r="N16" s="137">
        <f>IF(O9&lt;1200,IF(AND(O9&gt;900,O9&lt;=1100),1000,""),1200)</f>
        <v>1200</v>
      </c>
      <c r="O16" s="48" t="str">
        <f>IF(O9&lt;1200,IF(AND(O9&gt;900,O9&lt;=1100),"2 tours 1/2",""),"3 tours")</f>
        <v>3 tours</v>
      </c>
      <c r="P16" s="138">
        <f>IF(OR(D6=0,D6=""),IF(F3="","",IF(N16="","",INT(N16/F3/1000*60))),IF(N16="","",INT(N16/D6/1000*60)))</f>
        <v>4</v>
      </c>
      <c r="Q16" s="139">
        <f>IF(OR(D6=0,D6=""),IF(F3="","",IF(N16="","",((N16/F3/1000*60)-INT(N16/F3/1000*60))*60)),IF(N16="","",((N16/D6/1000*60)-INT(N16/D6/1000*60))*60))</f>
        <v>40.514851485148554</v>
      </c>
    </row>
    <row r="17" spans="2:17" ht="13" thickBot="1">
      <c r="B17" s="36" t="s">
        <v>270</v>
      </c>
      <c r="N17" s="137">
        <f>IF(O9&lt;1600,IF(AND(O9&gt;1300,O9&lt;=1500),1400,""),1600)</f>
        <v>1600</v>
      </c>
      <c r="O17" s="48" t="str">
        <f>IF(O9&lt;1600,IF(AND(O9&gt;1300,O9&lt;=1500),"3 tours 1/2",""),"4 tours")</f>
        <v>4 tours</v>
      </c>
      <c r="P17" s="138">
        <f>IF(OR(D6=0,D6=""),IF(F3="","",IF(N17="","",INT(N17/F3/1000*60))),IF(N17="","",INT(N17/D6/1000*60)))</f>
        <v>6</v>
      </c>
      <c r="Q17" s="139">
        <f>IF(OR(D6=0,D6=""),IF(F3="","",IF(N17="","",((N17/F3/1000*60)-INT(N17/F3/1000*60))*60)),IF(N17="","",((N17/D6/1000*60)-INT(N17/D6/1000*60))*60))</f>
        <v>14.019801980198032</v>
      </c>
    </row>
    <row r="18" spans="2:17" ht="13" thickBot="1">
      <c r="B18" s="37" t="s">
        <v>271</v>
      </c>
      <c r="N18" s="137">
        <f>IF(O9&lt;2000,IF(AND(O9&gt;1700,O9&lt;=1900),1800,""),2000)</f>
        <v>2000</v>
      </c>
      <c r="O18" s="48" t="str">
        <f>IF(O9&lt;2000,IF(AND(O9&gt;1700,O9&lt;=1900),"4 tours 1/2",""),"5 tours")</f>
        <v>5 tours</v>
      </c>
      <c r="P18" s="140">
        <f>IF(OR(D6=0,D6=""),IF(F3="","",IF(N18="","",INT(N18/F3/1000*60))),IF(N18="","",INT(N18/D6/1000*60)))</f>
        <v>7</v>
      </c>
      <c r="Q18" s="141">
        <f>IF(OR(D6=0,D6=""),IF(F3="","",IF(8="","",((N18/F3/1000*60)-INT(N18/F3/1000*60))*60)),IF(N18="","",((N18/D6/1000*60)-INT(N18/D6/1000*60))*60))</f>
        <v>47.524752475247624</v>
      </c>
    </row>
    <row r="19" spans="2:17" ht="13" thickBot="1">
      <c r="B19" s="36" t="s">
        <v>272</v>
      </c>
      <c r="N19" s="137">
        <f>IF(O9&lt;2400,IF(AND(O9&gt;2100,O9&lt;=2300),2200,""),2400)</f>
        <v>2400</v>
      </c>
      <c r="O19" s="48" t="str">
        <f>IF(O9&lt;2400,IF(AND(O9&gt;2100,O9&lt;=2300)," 5 tours 1/2",""),"6 tours")</f>
        <v>6 tours</v>
      </c>
      <c r="P19" s="138">
        <f>IF(OR(D6=0,D6=""),IF(F3="","",IF(N19="","",INT(N19/F3/1000*60))),IF(N19="","",INT(N19/D6/1000*60)))</f>
        <v>9</v>
      </c>
      <c r="Q19" s="139">
        <f>IF(OR(D6=0,D6=""),IF(F3="","",IF(N19="","",((N19/F3/1000*60)-INT(N19/F3/1000*60))*60)),IF(N19="","",((N19/D6/1000*60)-INT(N19/D6/1000*60))*60))</f>
        <v>21.029702970297102</v>
      </c>
    </row>
    <row r="20" spans="2:17" ht="13" thickBot="1">
      <c r="C20" s="59" t="s">
        <v>273</v>
      </c>
      <c r="D20" s="142">
        <f>IF(OR(D6=0,D6=""),IF(F3="","",ROUND(F3*8/60*5,0)*200),ROUND(D6*8/60*5,0)*200)</f>
        <v>2000</v>
      </c>
      <c r="E20" s="143">
        <f>IF(F3="","",ROUNDDOWN(D20/400,0))</f>
        <v>5</v>
      </c>
      <c r="F20" s="66" t="str">
        <f>IF(F3="","",IF(OR(E20=0,E20=1),"tour","tours"))</f>
        <v>tours</v>
      </c>
      <c r="G20" s="66" t="str">
        <f>IF(F3="","",IF((D20/400)-E20=0,"","et demi"))</f>
        <v/>
      </c>
      <c r="I20" s="66" t="s">
        <v>260</v>
      </c>
      <c r="J20" s="144">
        <f>IF(OR(D6=0,D6=""),IF(F3="","",ROUNDDOWN((D20/F3/1000*60),0)),ROUNDDOWN((D20/D6/1000*60),0))</f>
        <v>7</v>
      </c>
      <c r="K20" s="656">
        <f>IF(OR(D6=0,D6=""),IF(F3="","",((D20/F3/1000*60)-J20)*60),((D20/D6/1000*60)-J20)*60)</f>
        <v>47.524752475247624</v>
      </c>
      <c r="L20" s="657"/>
      <c r="N20" s="137">
        <f>IF(O9&lt;2800,IF(AND(O9&gt;2500,O9&lt;=2700),2600,""),2800)</f>
        <v>2800</v>
      </c>
      <c r="O20" s="48" t="str">
        <f>IF(O9&lt;2800,IF(AND(O9&gt;2500,O9&lt;=2700),"6 tours 1/2",""),"7 tours")</f>
        <v>7 tours</v>
      </c>
      <c r="P20" s="138">
        <f>IF(OR(D6=0,D6=""),IF(F3="","",IF(N20="","",INT(N20/F3/1000*60))),IF(N20="","",INT(N20/D6/1000*60)))</f>
        <v>10</v>
      </c>
      <c r="Q20" s="139">
        <f>IF(OR(D6=0,D6=""),IF(F3="","",IF(N20="","",((N20/F3/1000*60)-INT(N20/F3/1000*60))*60)),IF(N20="","",((N20/D6/1000*60)-INT(N20/D6/1000*60))*60))</f>
        <v>54.53465346534653</v>
      </c>
    </row>
    <row r="21" spans="2:17" ht="13" thickBot="1">
      <c r="C21" s="59" t="s">
        <v>274</v>
      </c>
      <c r="D21" s="142">
        <f>IF(OR(D6=0,D6=""),IF(F3="","",ROUND(F3*6/60*5,0)*200),ROUND(D6*6/60*5,0)*200)</f>
        <v>1600</v>
      </c>
      <c r="E21" s="143">
        <f>IF(F3="","",ROUNDDOWN(D21/400,0))</f>
        <v>4</v>
      </c>
      <c r="F21" s="66" t="str">
        <f>IF(F3="","",IF(OR(E21=0,E21=1),"tour","tours"))</f>
        <v>tours</v>
      </c>
      <c r="G21" s="66" t="str">
        <f>IF(F3="","",IF((D21/400)-E21=0,"","et demi"))</f>
        <v/>
      </c>
      <c r="I21" s="66" t="s">
        <v>260</v>
      </c>
      <c r="J21" s="144">
        <f>IF(OR(D6=0,D6=""),IF(F3="","",ROUNDDOWN((D21/F3/1000*60),0)),ROUNDDOWN((D21/D6/1000*60),0))</f>
        <v>6</v>
      </c>
      <c r="K21" s="656">
        <f>IF(OR(D6=0,D6=""),IF(F3="","",((D21/F3/1000*60)-J21)*60),((D21/D6/1000*60)-J21)*60)</f>
        <v>14.019801980198032</v>
      </c>
      <c r="L21" s="657"/>
      <c r="N21" s="137">
        <f>IF(O9&lt;3200,IF(AND(O9&gt;2900,O9&lt;=3100),3000,""),3200)</f>
        <v>3200</v>
      </c>
      <c r="O21" s="48" t="str">
        <f>IF(O9&lt;3200,IF(AND(O9&gt;2900,O9&lt;=3100),"7 tours 1/2",""),"8 tours")</f>
        <v>8 tours</v>
      </c>
      <c r="P21" s="138">
        <f>IF(OR(D6=0,D6=""),IF(F3="","",IF(N21="","",INT(N21/F3/1000*60))),IF(N21="","",INT(N21/D6/1000*60)))</f>
        <v>12</v>
      </c>
      <c r="Q21" s="139">
        <f>IF(OR(D6=0,D6=""),IF(F3="","",IF(N21="","",((N21/F3/1000*60)-INT(N21/F3/1000*60))*60)),IF(N21="","",((N21/D6/1000*60)-INT(N21/D6/1000*60))*60))</f>
        <v>28.039603960396065</v>
      </c>
    </row>
    <row r="22" spans="2:17" ht="13" thickBot="1">
      <c r="B22" s="658" t="s">
        <v>275</v>
      </c>
      <c r="C22" s="659"/>
      <c r="D22" s="659"/>
      <c r="E22" s="659"/>
      <c r="F22" s="660"/>
      <c r="G22" s="661">
        <f>IF([1]allures!U53="","",[1]allures!K48)</f>
        <v>163.70999999999998</v>
      </c>
      <c r="H22" s="663" t="s">
        <v>276</v>
      </c>
      <c r="I22" s="664"/>
      <c r="J22" s="664"/>
      <c r="K22" s="664"/>
      <c r="N22" s="137">
        <f>IF(O9&lt;3600,IF(AND(O9&gt;3300,O9&lt;=3500),3400,""),3600)</f>
        <v>3600</v>
      </c>
      <c r="O22" s="48" t="str">
        <f>IF(O9&lt;3600,IF(AND(O9&gt;3300,O9&lt;=3500),"8 tours 1/2",""),"9 tours")</f>
        <v>9 tours</v>
      </c>
      <c r="P22" s="138">
        <f>IF(OR(D6=0,D6=""),IF(F3="","",IF(N22="","",INT(N22/F3/1000*60))),IF(N22="","",INT(N22/D6/1000*60)))</f>
        <v>14</v>
      </c>
      <c r="Q22" s="139">
        <f>IF(OR(D6=0,D6=""),IF(F3="","",IF(N22="","",((N22/F3/1000*60)-INT(N22/F3/1000*60))*60)),IF(N22="","",((N22/D6/1000*60)-INT(N22/D6/1000*60))*60))</f>
        <v>1.5445544554455992</v>
      </c>
    </row>
    <row r="23" spans="2:17" ht="13" thickBot="1">
      <c r="B23" s="659"/>
      <c r="C23" s="659"/>
      <c r="D23" s="659"/>
      <c r="E23" s="659"/>
      <c r="F23" s="660"/>
      <c r="G23" s="662"/>
      <c r="H23" s="665"/>
      <c r="I23" s="664"/>
      <c r="J23" s="664"/>
      <c r="K23" s="664"/>
      <c r="N23" s="137">
        <f>IF(O9&lt;4000,IF(AND(O9&gt;3700,O9&lt;=3900),3800,""),4000)</f>
        <v>4000</v>
      </c>
      <c r="O23" s="48" t="str">
        <f>IF(O9&lt;3800,"",IF(N23=3800,"9 tours 1/2",IF(N23=4000,"10 tours","")))</f>
        <v>10 tours</v>
      </c>
      <c r="P23" s="140">
        <f>IF(OR(D6=0,D6=""),IF(F3="","",IF(N23="","",INT(N23/F3/1000*60))),IF(N23="","",INT(N23/D6/1000*60)))</f>
        <v>15</v>
      </c>
      <c r="Q23" s="141">
        <f>IF(OR(D6=0,D6=""),IF(F3="","",IF(N23="","",((N23/F3/1000*60)-INT(N23/F3/1000*60))*60)),IF(N23="","",((N23/D6/1000*60)-INT(N23/D6/1000*60))*60))</f>
        <v>35.049504950495241</v>
      </c>
    </row>
    <row r="24" spans="2:17" ht="13.5" customHeight="1" thickBot="1">
      <c r="B24" s="668" t="s">
        <v>277</v>
      </c>
      <c r="C24" s="669"/>
      <c r="D24" s="669"/>
      <c r="E24" s="669"/>
      <c r="F24" s="669"/>
      <c r="G24" s="145">
        <f>[1]allures!K53</f>
        <v>160</v>
      </c>
      <c r="H24" s="146" t="s">
        <v>278</v>
      </c>
      <c r="I24" s="146">
        <f>[1]allures!L53</f>
        <v>167</v>
      </c>
      <c r="J24" s="147" t="s">
        <v>279</v>
      </c>
      <c r="K24" s="147"/>
      <c r="L24" s="38"/>
      <c r="N24" s="137">
        <f>IF(O9&lt;4400,IF(AND(O9&gt;4100,O9&lt;=4300),4200,""),4400)</f>
        <v>4400</v>
      </c>
      <c r="O24" s="48" t="str">
        <f>IF(O9&lt;4200,"",IF(N24=4200,"10 tours 1/2",IF(N24=4400,"11 tours","")))</f>
        <v>11 tours</v>
      </c>
      <c r="P24" s="138">
        <f>IF(OR(D6=0,D6=""),IF(F3="","",IF(N24="","",INT(N24/F3/1000*60))),IF(N24="","",INT(N24/D6/1000*60)))</f>
        <v>17</v>
      </c>
      <c r="Q24" s="139">
        <f>IF(OR(D6=0,D6=""),IF(F3="","",IF(N24="","",((N24/F3/1000*60)-INT(N24/F3/1000*60))*60)),IF(N24="","",((N24/D6/1000*60)-INT(N24/D6/1000*60))*60))</f>
        <v>8.5544554455447752</v>
      </c>
    </row>
    <row r="25" spans="2:17" ht="13" thickBot="1">
      <c r="B25" s="36" t="s">
        <v>280</v>
      </c>
      <c r="N25" s="137">
        <f>IF(O9&lt;4800,IF(AND(O9&gt;4500,O9&lt;=4700),4600,""),4800)</f>
        <v>4800</v>
      </c>
      <c r="O25" s="48" t="str">
        <f>IF(O9&lt;4600,"",IF(N25=4600,"11 tours 1/2",IF(N25=4800,"12 tours","")))</f>
        <v>12 tours</v>
      </c>
      <c r="P25" s="138">
        <f>IF(OR(D6=0,D6=""),IF(F3="","",IF(N25="","",INT(N25/F3/1000*60))),IF(N25="","",INT(N25/D6/1000*60)))</f>
        <v>18</v>
      </c>
      <c r="Q25" s="139">
        <f>IF(OR(D6=0,D6=""),IF(F3="","",IF(N25="","",((N25/F3/1000*60)-INT(N25/F3/1000*60))*60)),IF(N25="","",((N25/D6/1000*60)-INT(N25/D6/1000*60))*60))</f>
        <v>42.059405940594203</v>
      </c>
    </row>
    <row r="26" spans="2:17" ht="13" thickBot="1">
      <c r="B26" s="36" t="s">
        <v>281</v>
      </c>
      <c r="E26" s="36"/>
      <c r="F26" s="36"/>
      <c r="H26" s="48" t="s">
        <v>282</v>
      </c>
      <c r="I26" s="670">
        <f>IF([1]allures!U53="","",G22-20)</f>
        <v>143.70999999999998</v>
      </c>
      <c r="J26" s="671"/>
      <c r="K26" s="672"/>
      <c r="N26" s="137">
        <f>IF(O9&lt;5200,IF(AND(O9&gt;4900,O9&lt;=5100),5000,""),5200)</f>
        <v>5200</v>
      </c>
      <c r="O26" s="48" t="str">
        <f>IF(O9&lt;5000,"",IF(N26=5000,"12 tours 1/2",IF(N26=5200,"13 tours","")))</f>
        <v>13 tours</v>
      </c>
      <c r="P26" s="138">
        <f>IF(OR(D6=0,D6=""),IF(F3="","",IF(N26="","",INT(N26/F3/1000*60))),IF(N26="","",INT(N26/D6/1000*60)))</f>
        <v>20</v>
      </c>
      <c r="Q26" s="139">
        <f>IF(OR(D6=0,D6=""),IF(F3="","",IF(N26="","",((N26/F3/1000*60)-INT(N26/F3/1000*60))*60)),IF(N26="","",((N26/D6/1000*60)-INT(N26/D6/1000*60))*60))</f>
        <v>15.564356435643845</v>
      </c>
    </row>
    <row r="27" spans="2:17" ht="13" thickBot="1">
      <c r="B27" s="148"/>
      <c r="C27" s="149"/>
      <c r="D27" s="150"/>
      <c r="E27" s="117"/>
      <c r="F27" s="117"/>
      <c r="G27" s="118"/>
      <c r="H27" s="118"/>
      <c r="I27" s="118"/>
      <c r="N27" s="137">
        <f>IF(O9&lt;5600,IF(AND(O9&gt;5300,O9&lt;=5500),5400,""),5600)</f>
        <v>5600</v>
      </c>
      <c r="O27" s="48" t="str">
        <f>IF(O9&lt;5400,"",IF(N27=5400,"13 tours 1/2",IF(N27=5600,"14 tours","")))</f>
        <v>14 tours</v>
      </c>
      <c r="P27" s="138">
        <f>IF(OR(D6=0,D6=""),IF(F3="","",IF(N27="","",INT(N27/F3/1000*60))),IF(N27="","",INT(N27/D6/1000*60)))</f>
        <v>21</v>
      </c>
      <c r="Q27" s="139">
        <f>IF(OR(D6=0,D6=""),IF(F3="","",IF(N27="","",((N27/F3/1000*60)-INT(N27/F3/1000*60))*60)),IF(N27="","",((N27/D6/1000*60)-INT(N27/D6/1000*60))*60))</f>
        <v>49.06930693069306</v>
      </c>
    </row>
    <row r="28" spans="2:17" ht="13.5" customHeight="1" thickBot="1">
      <c r="B28" s="673" t="s">
        <v>283</v>
      </c>
      <c r="C28" s="673"/>
      <c r="D28" s="673"/>
      <c r="E28" s="673"/>
      <c r="F28" s="673"/>
      <c r="G28" s="674">
        <v>2000</v>
      </c>
      <c r="H28" s="674"/>
      <c r="I28" s="117" t="s">
        <v>260</v>
      </c>
      <c r="J28" s="144">
        <f>IF(OR(D6=0,D6=""),IF(F3="","",INT(G28/F3/1000*60)),INT(G28/D6/1000*60))</f>
        <v>7</v>
      </c>
      <c r="K28" s="675">
        <f>IF(OR(D6=0,D6=""),IF(F3="","",((G28/F3/1000*60)-INT(G28/F3/1000*60))*60),((G28/D6/1000*60)-INT(G28/D6/1000*60))*60)</f>
        <v>47.524752475247624</v>
      </c>
      <c r="L28" s="676"/>
      <c r="N28" s="137">
        <f>IF(O9&lt;6000,IF(AND(O9&gt;5700,O9&lt;=5900),5800,""),6000)</f>
        <v>6000</v>
      </c>
      <c r="O28" s="48" t="str">
        <f>IF(O9&lt;5800,"",IF(N28=5800,"14 tours 1/2",IF(N28=6000,"15 tours","")))</f>
        <v>15 tours</v>
      </c>
      <c r="P28" s="140">
        <f>IF(OR(D6=0,D6=""),IF(F3="","",IF(N28="","",INT(N28/F3/1000*60))),IF(N28="","",INT(N28/D6/1000*60)))</f>
        <v>23</v>
      </c>
      <c r="Q28" s="141">
        <f>IF(OR(D6=0,D6=""),IF(F3="","",IF(N28="","",((N28/F3/1000*60)-INT(N28/F3/1000*60))*60)),IF(N28="","",((N28/D6/1000*60)-INT(N28/D6/1000*60))*60))</f>
        <v>22.574257425742914</v>
      </c>
    </row>
    <row r="29" spans="2:17" ht="13" thickBot="1">
      <c r="B29" s="151"/>
      <c r="C29" s="151"/>
      <c r="D29" s="152"/>
      <c r="E29" s="117"/>
      <c r="F29" s="118"/>
      <c r="G29" s="153"/>
      <c r="H29" s="153"/>
      <c r="I29" s="117"/>
      <c r="N29" s="137">
        <f>IF(O9&lt;6400,IF(AND(O9&gt;6100,O9&lt;=6300),6200,""),6400)</f>
        <v>6400</v>
      </c>
      <c r="O29" s="48" t="str">
        <f>IF(O9&lt;6200,"",IF(N29=6200,"15 tours 1/2",IF(N29=6400,"16 tours","")))</f>
        <v>16 tours</v>
      </c>
      <c r="P29" s="138">
        <f>IF(OR(D6=0,D6=""),IF(F3="","",IF(N29="","",INT(N29/F3/1000*60))),IF(N29="","",INT(N29/D6/1000*60)))</f>
        <v>24</v>
      </c>
      <c r="Q29" s="139">
        <f>IF(OR(D6=0,D6=""),IF(F3="","",IF(N29="","",((N29/F3/1000*60)-INT(N29/F3/1000*60))*60)),IF(N29="","",((N29/D6/1000*60)-INT(N29/D6/1000*60))*60))</f>
        <v>56.079207920792129</v>
      </c>
    </row>
    <row r="30" spans="2:17" ht="13" thickBot="1">
      <c r="E30" s="36"/>
      <c r="F30" s="36"/>
      <c r="G30" s="674">
        <v>3000</v>
      </c>
      <c r="H30" s="674"/>
      <c r="I30" s="117" t="s">
        <v>260</v>
      </c>
      <c r="J30" s="144">
        <f>IF(OR(D6=0,D6=""),IF(F3="","",INT(G30/F3/1000*60)),INT(G30/D6/1000*60))</f>
        <v>11</v>
      </c>
      <c r="K30" s="675">
        <f>IF(OR(D6=0,D6=""),IF(F3="","",((G30/F3/1000*60)-INT(G30/F3/1000*60))*60),((G30/D6/1000*60)-INT(G30/D6/1000*60))*60)</f>
        <v>41.287128712871457</v>
      </c>
      <c r="L30" s="676"/>
      <c r="N30" s="137">
        <f>IF(O9&lt;6800,IF(AND(O9&gt;6500,O9&lt;=6700),6600,""),6800)</f>
        <v>6800</v>
      </c>
      <c r="O30" s="48" t="str">
        <f>IF(O9&lt;6600,"",IF(N30=6600,"16 tours 1/2",IF(N30=6800,"17 tours","")))</f>
        <v>17 tours</v>
      </c>
      <c r="P30" s="138">
        <f>IF(OR(D6=0,D6=""),IF(F3="","",IF(N30="","",INT(N30/F3/1000*60))),IF(N30="","",INT(N30/D6/1000*60)))</f>
        <v>26</v>
      </c>
      <c r="Q30" s="139">
        <f>IF(OR(D6=0,D6=""),IF(F3="","",IF(N30="","",((N30/F3/1000*60)-INT(N30/F3/1000*60))*60)),IF(N30="","",((N30/D6/1000*60)-INT(N30/D6/1000*60))*60))</f>
        <v>29.58415841584177</v>
      </c>
    </row>
    <row r="31" spans="2:17" ht="13" thickBot="1">
      <c r="E31" s="117"/>
      <c r="F31" s="118"/>
      <c r="G31" s="153"/>
      <c r="H31" s="153"/>
      <c r="I31" s="117"/>
      <c r="N31" s="137" t="str">
        <f>IF(O9&lt;7200,IF(AND(O9&gt;6900,O9&lt;=7100),7000,""),7200)</f>
        <v/>
      </c>
      <c r="O31" s="48" t="str">
        <f>IF(O9&lt;7000,"",IF(N31=7000,"17 tours 1/2",IF(N31=7200,"18 tours","")))</f>
        <v/>
      </c>
      <c r="P31" s="138" t="str">
        <f>IF(OR(D6=0,D6=""),IF(F3="","",IF(N31="","",INT(N31/F3/1000*60))),IF(N31="","",INT(N31/D6/1000*60)))</f>
        <v/>
      </c>
      <c r="Q31" s="139" t="str">
        <f>IF(OR(D6=0,D6=""),IF(F3="","",IF(N31="","",((N31/F3/1000*60)-INT(N31/F3/1000*60))*60)),IF(N31="","",((N31/D6/1000*60)-INT(N31/D6/1000*60))*60))</f>
        <v/>
      </c>
    </row>
    <row r="32" spans="2:17" ht="13" thickBot="1">
      <c r="E32" s="36"/>
      <c r="G32" s="674">
        <v>2000</v>
      </c>
      <c r="H32" s="674"/>
      <c r="I32" s="154" t="s">
        <v>260</v>
      </c>
      <c r="J32" s="144">
        <f>IF(OR(D6=0,D6=""),IF(F3="","",INT(G32/F3/1000*60)),INT(G32/D6/1000*60))</f>
        <v>7</v>
      </c>
      <c r="K32" s="675">
        <f>IF(OR(D6=0,D6=""),IF(F3="","",((G32/F3/1000*60)-INT(G32/F3/1000*60))*60),((G32/D6/1000*60)-INT(G32/D6/1000*60))*60)</f>
        <v>47.524752475247624</v>
      </c>
      <c r="L32" s="676"/>
      <c r="N32" s="137" t="str">
        <f>IF(O9&lt;7600,IF(AND(O9&gt;7300,O9&lt;=7500),7400,""),7600)</f>
        <v/>
      </c>
      <c r="O32" s="48" t="str">
        <f>IF(O9&lt;7400,"",IF(N32=7400,"18 tours 1/2",IF(N32=7600,"19 tours","")))</f>
        <v/>
      </c>
      <c r="P32" s="138" t="str">
        <f>IF(OR(D6=0,D6=""),IF(F3="","",IF(N32="","",INT(N32/F3/1000*60))),IF(N32="","",INT(N32/D6/1000*60)))</f>
        <v/>
      </c>
      <c r="Q32" s="139" t="str">
        <f>IF(OR(D6=0,D6=""),IF(F3="","",IF(N32="","",((N32/F3/1000*60)-INT(N32/F3/1000*60))*60)),IF(N32="","",((N32/D6/1000*60)-INT(N32/D6/1000*60))*60))</f>
        <v/>
      </c>
    </row>
    <row r="33" spans="1:17" ht="13" thickBot="1">
      <c r="E33" s="117"/>
      <c r="F33" s="117"/>
      <c r="G33" s="118"/>
      <c r="H33" s="118"/>
      <c r="I33" s="117"/>
      <c r="N33" s="137" t="str">
        <f>IF(O9&lt;8000,IF(AND(O9&gt;7700,O9&lt;=7900),7800,""),8000)</f>
        <v/>
      </c>
      <c r="O33" s="48" t="str">
        <f>IF(O9&lt;7800,"",IF(N33=7800,"19 tours 1/2",IF(N33=8000,"20 tours","")))</f>
        <v/>
      </c>
      <c r="P33" s="140" t="str">
        <f>IF(OR(D6=0,D6=""),IF(F3="","",IF(N33="","",INT(N33/F3/1000*60))),IF(N33="","",INT(N33/D6/1000*60)))</f>
        <v/>
      </c>
      <c r="Q33" s="141" t="str">
        <f>IF(OR(D6=0,D6=""),IF(F3="","",IF(N33="","",((N33/F3/1000*60)-INT(N33/F3/1000*60))*60)),IF(N33="","",((N33/D6/1000*60)-INT(N33/D6/1000*60))*60))</f>
        <v/>
      </c>
    </row>
    <row r="34" spans="1:17" ht="13" thickBot="1">
      <c r="B34" s="36" t="s">
        <v>284</v>
      </c>
      <c r="I34" s="66"/>
      <c r="N34" s="137" t="str">
        <f>IF(O9&lt;8400,IF(AND(O9&gt;8100,O9&lt;=8300),8200,""),8400)</f>
        <v/>
      </c>
      <c r="O34" s="48" t="str">
        <f>IF(O9&lt;8200,"",IF(N34=8200,"20 tours 1/2",IF(N34=8400,"21 tours","")))</f>
        <v/>
      </c>
      <c r="P34" s="138" t="str">
        <f>IF(OR(D6=0,D6=""),IF(F3="","",IF(N34="","",INT(N34/F3/1000*60))),IF(N34="","",INT(N34/D6/1000*60)))</f>
        <v/>
      </c>
      <c r="Q34" s="139" t="str">
        <f>IF(OR(D6=0,D6=""),IF(F3="","",IF(N34="","",((N34/F3/1000*60)-INT(N34/F3/1000*60))*60)),IF(N34="","",((N34/D6/1000*60)-INT(N34/D6/1000*60))*60))</f>
        <v/>
      </c>
    </row>
    <row r="35" spans="1:17" ht="13" thickBot="1">
      <c r="B35" s="36" t="s">
        <v>285</v>
      </c>
      <c r="I35" s="66"/>
      <c r="N35" s="137" t="str">
        <f>IF(O9&lt;8800,IF(AND(O9&gt;8500,O9&lt;=8700),8600,""),8800)</f>
        <v/>
      </c>
      <c r="O35" s="48" t="str">
        <f>IF(O9&lt;8600,"",IF(N35=8600,"21 tours 1/2",IF(N35=8800,"22 tours","")))</f>
        <v/>
      </c>
      <c r="P35" s="138" t="str">
        <f>IF(OR(D6=0,D6=""),IF(F3="","",IF(N35="","",INT(N35/F3/1000*60))),IF(N35="","",INT(N35/D6/1000*60)))</f>
        <v/>
      </c>
      <c r="Q35" s="139" t="str">
        <f>IF(OR(D6=0,D6=""),IF(F3="","",IF(N35="","",((N35/F3/1000*60)-INT(N35/F3/1000*60))*60)),IF(N35="","",((N35/D6/1000*60)-INT(N35/D6/1000*60))*60))</f>
        <v/>
      </c>
    </row>
    <row r="36" spans="1:17" ht="13" thickBot="1">
      <c r="B36" s="36" t="s">
        <v>286</v>
      </c>
      <c r="I36" s="66"/>
      <c r="N36" s="137" t="str">
        <f>IF(O9&lt;9200,IF(AND(O9&gt;8900,O9&lt;=9100),9000,""),9200)</f>
        <v/>
      </c>
      <c r="O36" s="48" t="str">
        <f>IF(O9&lt;9000,"",IF(N36=9000,"22 tours 1/2",IF(N36=9200,"23 tours","")))</f>
        <v/>
      </c>
      <c r="P36" s="138" t="str">
        <f>IF(OR(D6=0,D6=""),IF(F3="","",IF(N36="","",INT(N36/F3/1000*60))),IF(N36="","",INT(N36/D6/1000*60)))</f>
        <v/>
      </c>
      <c r="Q36" s="139" t="str">
        <f>IF(OR(D6=0,D6=""),IF(F3="","",IF(N36="","",((N36/F3/1000*60)-INT(N36/F3/1000*60))*60)),IF(N36="","",((N36/D6/1000*60)-INT(N36/D6/1000*60))*60))</f>
        <v/>
      </c>
    </row>
    <row r="37" spans="1:17" ht="13" thickBot="1">
      <c r="B37" s="604" t="s">
        <v>287</v>
      </c>
      <c r="C37" s="605"/>
      <c r="D37" s="142">
        <f>IF(OR(D6=0,D6=""),IF(F3="","",ROUND(F3*13/60*5,0)*200),ROUND(D6*13/60*5,0)*200)</f>
        <v>3400</v>
      </c>
      <c r="E37" s="59">
        <f>IF(F3="","",IF(F3="","",ROUNDDOWN(D37/400,0)))</f>
        <v>8</v>
      </c>
      <c r="F37" s="66" t="str">
        <f>IF(F3="","",IF(F3="","",IF(OR(E37=0,E37=1),"tour","tours")))</f>
        <v>tours</v>
      </c>
      <c r="G37" s="36" t="str">
        <f>IF(F3="","",IF((D37/400)-E37=0,"","et demi"))</f>
        <v>et demi</v>
      </c>
      <c r="I37" s="66" t="s">
        <v>260</v>
      </c>
      <c r="J37" s="144">
        <f>IF(OR(D6=0,D6=""),IF(F3="","",ROUNDDOWN((D37/F3/1000*60),0)),ROUNDDOWN((D37/D6/1000*60),0))</f>
        <v>13</v>
      </c>
      <c r="K37" s="656">
        <f>IF(OR(D6=0,D6=""),IF(F3="","",((D37/F3/1000*60)-J37)*60),((D37/D6/1000*60)-J37)*60)</f>
        <v>14.792079207920885</v>
      </c>
      <c r="L37" s="657"/>
      <c r="N37" s="137" t="str">
        <f>IF(O9&lt;9600,IF(AND(O9&gt;9300,O9&lt;=9500),9400,""),9600)</f>
        <v/>
      </c>
      <c r="O37" s="48" t="str">
        <f>IF(O9&lt;9400,"",IF(N37=9400,"23 tours 1/2",IF(N37=9600,"24 tours","")))</f>
        <v/>
      </c>
      <c r="P37" s="138" t="str">
        <f>IF(OR(D6=0,D6=""),IF(F3="","",IF(N37="","",INT(N37/F3/1000*60))),IF(N37="","",INT(N37/D6/1000*60)))</f>
        <v/>
      </c>
      <c r="Q37" s="139" t="str">
        <f>IF(OR(D6=0,D6=""),IF(F3="","",IF(N37="","",((N37/F3/1000*60)-INT(N37/F3/1000*60))*60)),IF(N37="","",((N37/D6/1000*60)-INT(N37/D6/1000*60))*60))</f>
        <v/>
      </c>
    </row>
    <row r="38" spans="1:17" ht="13" thickBot="1">
      <c r="B38" s="59"/>
      <c r="C38" s="116" t="s">
        <v>288</v>
      </c>
      <c r="D38" s="142">
        <f>IF(OR(D6=0,D6=""),IF(F3="","",ROUND(F3*20/60*5,0)*200),ROUND(D6*20/60*5,0)*200)</f>
        <v>5200</v>
      </c>
      <c r="E38" s="59">
        <f>IF(F3="","",IF(F3="","",ROUNDDOWN(D38/400,0)))</f>
        <v>13</v>
      </c>
      <c r="F38" s="66" t="str">
        <f>IF(F3="","",IF(OR(E38=0,E38=1),"tour","tours"))</f>
        <v>tours</v>
      </c>
      <c r="G38" s="36" t="str">
        <f>IF(F3="","",IF((D38/400)-E38=0,"","et demi"))</f>
        <v/>
      </c>
      <c r="I38" s="66" t="s">
        <v>260</v>
      </c>
      <c r="J38" s="144">
        <f>IF(OR(D6=0,D6=""),IF(F3="","",ROUNDDOWN((D38/F3/1000*60),0)),ROUNDDOWN((D38/D6/1000*60),0))</f>
        <v>20</v>
      </c>
      <c r="K38" s="656">
        <f>IF(OR(D6=0,D6=""),IF(F3="","",((D38/F3/1000*60)-J38)*60),((D38/D6/1000*60)-J38)*60)</f>
        <v>15.564356435643845</v>
      </c>
      <c r="L38" s="657"/>
      <c r="M38" s="36" t="s">
        <v>289</v>
      </c>
      <c r="N38" s="137" t="str">
        <f>IF(O9&lt;10000,IF(AND(O9&gt;9700,O9&lt;=9900),9800,""),10000)</f>
        <v/>
      </c>
      <c r="O38" s="48" t="str">
        <f>IF(O9&lt;9800,"",IF(N38=9800,"24 tours 1/2",IF(N38=10000,"25 tours","")))</f>
        <v/>
      </c>
      <c r="P38" s="140" t="str">
        <f>IF(OR(D6=0,D6=""),IF(F3="","",IF(N38="","",INT(N38/F3/1000*60))),IF(N38="","",INT(N38/D6/1000*60)))</f>
        <v/>
      </c>
      <c r="Q38" s="141" t="str">
        <f>IF(OR(D6=0,D6=""),IF(F3="","",IF(N38="","",((N38/F3/1000*60)-INT(N38/F3/1000*60))*60)),IF(N38="","",((N38/D6/1000*60)-INT(N38/D6/1000*60))*60))</f>
        <v/>
      </c>
    </row>
    <row r="39" spans="1:17" ht="13" thickBot="1">
      <c r="B39" s="63" t="s">
        <v>290</v>
      </c>
      <c r="D39" s="66"/>
      <c r="F39" s="36"/>
      <c r="I39" s="66"/>
      <c r="N39" s="137" t="str">
        <f>IF(O9&lt;10400,IF(AND(O9&gt;10100,O9&lt;=10300),10200,""),10400)</f>
        <v/>
      </c>
      <c r="O39" s="48" t="str">
        <f>IF(O9&lt;10200,"",IF(N39=10200,"25 tours 1/2",IF(N39=10400,"26 tours","")))</f>
        <v/>
      </c>
      <c r="P39" s="138" t="str">
        <f>IF(OR(D6=0,D6=""),IF(F3="","",IF(N39="","",INT(N39/F3/1000*60))),IF(N39="","",INT(N39/D6/1000*60)))</f>
        <v/>
      </c>
      <c r="Q39" s="139" t="str">
        <f>IF(OR(D6=0,D6=""),IF(F3="","",IF(N39="","",((N39/F3/1000*60)-INT(N39/F3/1000*60))*60)),IF(N39="","",((N39/D6/1000*60)-INT(N39/D6/1000*60))*60))</f>
        <v/>
      </c>
    </row>
    <row r="40" spans="1:17" ht="13" thickBot="1">
      <c r="B40" s="604" t="s">
        <v>287</v>
      </c>
      <c r="C40" s="605"/>
      <c r="D40" s="142">
        <f>IF(OR(D6=0,D6=""),IF(F3="","",ROUND(F3*25/60*5,0)*200),ROUND(D6*25/60*5,0)*200)</f>
        <v>6400</v>
      </c>
      <c r="E40" s="59">
        <f>IF(F3="","",ROUNDDOWN(D40/400,0))</f>
        <v>16</v>
      </c>
      <c r="F40" s="66" t="str">
        <f>IF(F3="","",IF(OR(E40=0,E40=1),"tour","tours"))</f>
        <v>tours</v>
      </c>
      <c r="G40" s="36" t="str">
        <f>IF(F3="","",IF((D40/400)-E40=0,"","et demi"))</f>
        <v/>
      </c>
      <c r="I40" s="66" t="s">
        <v>260</v>
      </c>
      <c r="J40" s="144">
        <f>IF(OR(D6=0,D6=""),IF(F3="","",ROUNDDOWN((D40/F3/1000*60),0)),ROUNDDOWN((D40/D6/1000*60),0))</f>
        <v>24</v>
      </c>
      <c r="K40" s="656">
        <f>IF(OR(D6=0,D6=""),IF(F3="","",((D40/F3/1000*60)-J40)*60),((D40/D6/1000*60)-J40)*60)</f>
        <v>56.079207920792129</v>
      </c>
      <c r="L40" s="657"/>
      <c r="N40" s="137" t="str">
        <f>IF(O9&lt;10800,IF(AND(O9&gt;10500,O9&lt;=10700),10600,""),10800)</f>
        <v/>
      </c>
      <c r="O40" s="48" t="str">
        <f>IF(O9&lt;10600,"",IF(N40=10600,"26 tours 1/2",IF(N40=10800,"27 tours","")))</f>
        <v/>
      </c>
      <c r="P40" s="138" t="str">
        <f>IF(OR(D6=0,D6=""),IF(F3="","",IF(N40="","",INT(N40/F3/1000*60))),IF(N40="","",INT(N40/D6/1000*60)))</f>
        <v/>
      </c>
      <c r="Q40" s="139" t="str">
        <f>IF(OR(D6=0,D6=""),IF(F3="","",IF(N40="","",((N40/F3/1000*60)-INT(N40/F3/1000*60))*60)),IF(N40="","",((N40/D6/1000*60)-INT(N40/D6/1000*60))*60))</f>
        <v/>
      </c>
    </row>
    <row r="41" spans="1:17" ht="13" thickBot="1">
      <c r="C41" s="59" t="s">
        <v>288</v>
      </c>
      <c r="D41" s="142">
        <f>IF(OR(D6=0,D6=""),IF(F3="","",ROUND(F3*35/60*5,0)*200),ROUND(D6*35/60*5,0)*200)</f>
        <v>9000</v>
      </c>
      <c r="E41" s="59">
        <f>IF(F3="","",ROUNDDOWN(D41/400,0))</f>
        <v>22</v>
      </c>
      <c r="F41" s="66" t="str">
        <f>IF(F3="","",IF(OR(E41=0,E41=1),"tour","tours"))</f>
        <v>tours</v>
      </c>
      <c r="G41" s="36" t="str">
        <f>IF(F3="","",IF((D41/400)-E41=0,"","et demi"))</f>
        <v>et demi</v>
      </c>
      <c r="I41" s="66" t="s">
        <v>260</v>
      </c>
      <c r="J41" s="144">
        <f>IF(OR(D6=0,D6=""),IF(F3="","",ROUNDDOWN((D41/F3/1000*60),0)),ROUNDDOWN((D41/D6/1000*60),0))</f>
        <v>35</v>
      </c>
      <c r="K41" s="656">
        <f>IF(OR(D6=0,D6=""),IF(F3="","",((D41/F3/1000*60)-J41)*60),((D41/D6/1000*60)-J41)*60)</f>
        <v>3.8613861386140513</v>
      </c>
      <c r="L41" s="657"/>
      <c r="M41" s="36" t="s">
        <v>289</v>
      </c>
      <c r="N41" s="137" t="str">
        <f>IF(O9&lt;11200,IF(AND(O9&gt;10900,O9&lt;=11100),11000,""),11200)</f>
        <v/>
      </c>
      <c r="O41" s="48" t="str">
        <f>IF(O9&lt;11000,"",IF(N41=11000,"27 tours 1/2",IF(N41=11200,"28 tours","")))</f>
        <v/>
      </c>
      <c r="P41" s="138" t="str">
        <f>IF(OR(D6=0,D6=""),IF(F3="","",IF(N41="","",INT(N41/F3/1000*60))),IF(N41="","",INT(N41/D6/1000*60)))</f>
        <v/>
      </c>
      <c r="Q41" s="139" t="str">
        <f>IF(OR(D6=0,D6=""),IF(F3="","",IF(N41="","",((N41/F3/1000*60)-INT(N41/F3/1000*60))*60)),IF(N41="","",((N41/D6/1000*60)-INT(N41/D6/1000*60))*60))</f>
        <v/>
      </c>
    </row>
    <row r="42" spans="1:17" ht="13" thickBot="1">
      <c r="C42" s="59"/>
      <c r="D42" s="155"/>
      <c r="E42" s="59"/>
      <c r="I42" s="66"/>
      <c r="J42" s="156"/>
      <c r="K42" s="157"/>
      <c r="L42" s="157"/>
      <c r="N42" s="137" t="str">
        <f>IF(O9&lt;11600,IF(AND(O9&gt;11300,O9&lt;=11500),11400,""),11600)</f>
        <v/>
      </c>
      <c r="O42" s="48" t="str">
        <f>IF(O9&lt;11400,"",IF(N42=11400,"28 tours 1/2",IF(N42=11600,"29 tours","")))</f>
        <v/>
      </c>
      <c r="P42" s="138" t="str">
        <f>IF(OR(D6=0,D6=""),IF(F3="","",IF(N42="","",INT(N42/F3/1000*60))),IF(N42="","",INT(N42/D6/1000*60)))</f>
        <v/>
      </c>
      <c r="Q42" s="139" t="str">
        <f>IF(OR(D6=0,D6=""),IF(F3="","",IF(N42="","",((N42/F3/1000*60)-INT(N42/F3/1000*60))*60)),IF(N42="","",((N42/D6/1000*60)-INT(N42/D6/1000*60))*60))</f>
        <v/>
      </c>
    </row>
    <row r="43" spans="1:17" ht="13" thickBot="1">
      <c r="B43" s="158" t="s">
        <v>291</v>
      </c>
      <c r="C43" s="59"/>
      <c r="D43" s="159"/>
      <c r="E43" s="59"/>
      <c r="I43" s="66"/>
      <c r="J43" s="160"/>
      <c r="K43" s="161"/>
      <c r="L43" s="161"/>
      <c r="N43" s="137" t="str">
        <f>IF(O9&lt;12000,IF(AND(O9&gt;11700,O9&lt;=11900),11800,""),12000)</f>
        <v/>
      </c>
      <c r="O43" s="48" t="str">
        <f>IF(O9&lt;11800,"",IF(N43=11800,"29 tours 1/2",IF(N43=12000,"30 tours","")))</f>
        <v/>
      </c>
      <c r="P43" s="140" t="str">
        <f>IF(OR(D6=0,D6=""),IF(F3="","",IF(N43="","",INT(N43/F3/1000*60))),IF(N43="","",INT(N43/D6/1000*60)))</f>
        <v/>
      </c>
      <c r="Q43" s="141" t="str">
        <f>IF(OR(D6=0,D6=""),IF(F3="","",IF(N43="","",((N43/F3/1000*60)-INT(N43/F3/1000*60))*60)),IF(N43="","",((N43/D6/1000*60)-INT(N43/D6/1000*60))*60))</f>
        <v/>
      </c>
    </row>
    <row r="44" spans="1:17" ht="13" thickBot="1">
      <c r="D44" s="162">
        <f>IF(OR(D6=0,D6=""),IF(F3="","",ROUND(F3*40/60*5,0)*200),ROUND(D6*40/60*5,0)*200)</f>
        <v>10200</v>
      </c>
      <c r="E44" s="163">
        <f>IF(F3="","",ROUNDDOWN(D44/400,0))</f>
        <v>25</v>
      </c>
      <c r="F44" s="164" t="str">
        <f>IF(F3="","",IF(OR(E44=0,E44=1),"tour","tours"))</f>
        <v>tours</v>
      </c>
      <c r="G44" s="165" t="str">
        <f>IF(F3="","",IF((D44/400)-E44=0,"","et demi"))</f>
        <v>et demi</v>
      </c>
      <c r="H44" s="165"/>
      <c r="I44" s="164" t="s">
        <v>260</v>
      </c>
      <c r="J44" s="166">
        <f>IF(OR(D6=0,D6=""),IF(F3="","",ROUNDDOWN((D44/F3/1000*60),0)),ROUNDDOWN((D44/D6/1000*60),0))</f>
        <v>39</v>
      </c>
      <c r="K44" s="677">
        <f>IF(OR(D6=0,D6=""),IF(F3="","",((D44/F3/1000*60)-J44)*60),((D44/D6/1000*60)-J44)*60)</f>
        <v>44.376237623762762</v>
      </c>
      <c r="L44" s="678"/>
      <c r="N44" s="137" t="str">
        <f>IF(O9&lt;12400,IF(AND(O9&gt;12100,O9&lt;=12300),12200,""),12400)</f>
        <v/>
      </c>
      <c r="O44" s="48" t="str">
        <f>IF(O9&lt;12200,"",IF(N44=12200,"30 tours 1/2",IF(N44=12400,"31 tours","")))</f>
        <v/>
      </c>
      <c r="P44" s="138" t="str">
        <f>IF(OR(D6=0,D6=""),IF(F3="","",IF(N44="","",INT(N44/F3/1000*60))),IF(N44="","",INT(N44/D6/1000*60)))</f>
        <v/>
      </c>
      <c r="Q44" s="139" t="str">
        <f>IF(OR(D6=0,D6=""),IF(F3="","",IF(N44="","",((N44/F3/1000*60)-INT(N44/F3/1000*60))*60)),IF(N44="","",((N44/D6/1000*60)-INT(N44/D6/1000*60))*60))</f>
        <v/>
      </c>
    </row>
    <row r="45" spans="1:17" ht="13" thickBot="1">
      <c r="D45" s="162">
        <f>IF(OR(D6=0,D6=""),IF(F3="","",ROUND(F3*50/60*5,0)*200),ROUND(D6*50/60*5,0)*200)</f>
        <v>12800</v>
      </c>
      <c r="E45" s="163">
        <f>IF(F3="","",ROUNDDOWN(D45/400,0))</f>
        <v>32</v>
      </c>
      <c r="F45" s="164" t="str">
        <f>IF(F3="","",IF(OR(E45=0,E45=1),"tour","tours"))</f>
        <v>tours</v>
      </c>
      <c r="G45" s="165" t="str">
        <f>IF(F3="","",IF((D45/400)-E45=0,"","et demi"))</f>
        <v/>
      </c>
      <c r="H45" s="165"/>
      <c r="I45" s="164" t="s">
        <v>260</v>
      </c>
      <c r="J45" s="166">
        <f>IF(OR(D6=0,D6=""),IF(F3="","",ROUNDDOWN((D45/F3/1000*60),0)),ROUNDDOWN((D45/D6/1000*60),0))</f>
        <v>49</v>
      </c>
      <c r="K45" s="677">
        <f>IF(OR(D6=0,D6=""),IF(F3="","",((D45/F3/1000*60)-J45)*60),((D45/D6/1000*60)-J45)*60)</f>
        <v>52.158415841584258</v>
      </c>
      <c r="L45" s="678"/>
      <c r="N45" s="137" t="str">
        <f>IF(O9&lt;12800,IF(AND(O9&gt;12500,O9&lt;=8700),12600,""),12800)</f>
        <v/>
      </c>
      <c r="O45" s="48" t="str">
        <f>IF(O9&lt;12600,"",IF(N45=12600,"31 tours 1/2",IF(N45=12800,"32 tours","")))</f>
        <v/>
      </c>
      <c r="P45" s="138" t="str">
        <f>IF(OR(D6=0,D6=""),IF(F3="","",IF(N45="","",INT(N45/F3/1000*60))),IF(N45="","",INT(N45/D6/1000*60)))</f>
        <v/>
      </c>
      <c r="Q45" s="139" t="str">
        <f>IF(OR(D6=0,D6=""),IF(F3="","",IF(N45="","",((N45/F3/1000*60)-INT(N45/F3/1000*60))*60)),IF(N45="","",((N45/D6/1000*60)-INT(N45/D6/1000*60))*60))</f>
        <v/>
      </c>
    </row>
    <row r="46" spans="1:17" ht="13" thickBot="1">
      <c r="D46" s="154"/>
      <c r="E46" s="59"/>
      <c r="I46" s="66"/>
      <c r="J46" s="167"/>
      <c r="K46" s="168"/>
      <c r="L46" s="168"/>
      <c r="N46" s="137" t="str">
        <f>IF(O9&lt;13200,IF(AND(O9&gt;12900,O9&lt;=13100),13000,""),13200)</f>
        <v/>
      </c>
      <c r="O46" s="48" t="str">
        <f>IF(O9&lt;13000,"",IF(N46=13000,"32 tours 1/2",IF(N46=13200,"33 tours","")))</f>
        <v/>
      </c>
      <c r="P46" s="138" t="str">
        <f>IF(OR(D6=0,D6=""),IF(F3="","",IF(N46="","",INT(N46/F3/1000*60))),IF(N46="","",INT(N46/D6/1000*60)))</f>
        <v/>
      </c>
      <c r="Q46" s="139" t="str">
        <f>IF(OR(D6=0,D6=""),IF(F3="","",IF(N46="","",((N46/F3/1000*60)-INT(N46/F3/1000*60))*60)),IF(N46="","",((N46/D6/1000*60)-INT(N46/D6/1000*60))*60))</f>
        <v/>
      </c>
    </row>
    <row r="47" spans="1:17" ht="13" thickBot="1">
      <c r="A47" s="659" t="s">
        <v>292</v>
      </c>
      <c r="B47" s="659"/>
      <c r="C47" s="659"/>
      <c r="D47" s="659"/>
      <c r="E47" s="659"/>
      <c r="F47" s="659"/>
      <c r="G47" s="679" t="s">
        <v>293</v>
      </c>
      <c r="N47" s="137" t="str">
        <f>IF(O9&lt;13600,IF(AND(O9&gt;13300,O9&lt;=13500),13400,""),13600)</f>
        <v/>
      </c>
      <c r="O47" s="48" t="str">
        <f>IF(O9&lt;13400,"",IF(N47=13400,"33 tours 1/2",IF(N47=13600,"34 tours","")))</f>
        <v/>
      </c>
      <c r="P47" s="138" t="str">
        <f>IF(OR(D6=0,D6=""),IF(F3="","",IF(N47="","",INT(N47/F3/1000*60))),IF(N47="","",INT(N47/D6/1000*60)))</f>
        <v/>
      </c>
      <c r="Q47" s="139" t="str">
        <f>IF(OR(D6=0,D6=""),IF(F3="","",IF(N47="","",((N47/F3/1000*60)-INT(N47/F3/1000*60))*60)),IF(N47="","",((N47/D6/1000*60)-INT(N47/D6/1000*60))*60))</f>
        <v/>
      </c>
    </row>
    <row r="48" spans="1:17" ht="13" thickBot="1">
      <c r="A48" s="659"/>
      <c r="B48" s="659"/>
      <c r="C48" s="659"/>
      <c r="D48" s="659"/>
      <c r="E48" s="659"/>
      <c r="F48" s="659"/>
      <c r="G48" s="680"/>
      <c r="N48" s="137" t="str">
        <f>IF(O9&lt;14000,IF(AND(O9&gt;13700,O9&lt;=13900),13800,""),14000)</f>
        <v/>
      </c>
      <c r="O48" s="48" t="str">
        <f>IF(O9&lt;13800,"",IF(N48=13800,"34 tours 1/2",IF(N48=14000,"35 tours","")))</f>
        <v/>
      </c>
      <c r="P48" s="138" t="str">
        <f>IF(OR(D6=0,D6=""),IF(F3="","",IF(N48="","",INT(N48/F3/1000*60))),IF(N48="","",INT(N48/D6/1000*60)))</f>
        <v/>
      </c>
      <c r="Q48" s="139" t="str">
        <f>IF(OR(D6=0,D6=""),IF(F3="","",IF(N48="","",((N48/F3/1000*60)-INT(N48/F3/1000*60))*60)),IF(N48="","",((N48/D6/1000*60)-INT(N48/D6/1000*60))*60))</f>
        <v/>
      </c>
    </row>
    <row r="49" spans="14:17" ht="13" thickBot="1">
      <c r="N49" s="137" t="str">
        <f>IF(O9&lt;14400,IF(AND(O9&gt;14100,O9&lt;=14300),14200,""),14400)</f>
        <v/>
      </c>
      <c r="O49" s="48" t="str">
        <f>IF(O9&lt;14200,"",IF(N49=14200,"35 tours 1/2",IF(N49=14400,"36 tours","")))</f>
        <v/>
      </c>
      <c r="P49" s="138" t="str">
        <f>IF(OR(D6=0,D6=""),IF(F3="","",IF(N49="","",INT(N49/F3/1000*60))),IF(N49="","",INT(N49/D6/1000*60)))</f>
        <v/>
      </c>
      <c r="Q49" s="139" t="str">
        <f>IF(OR(D6=0,D6=""),IF(F3="","",IF(N49="","",((N49/F3/1000*60)-INT(N49/F3/1000*60))*60)),IF(N49="","",((N49/D6/1000*60)-INT(N49/D6/1000*60))*60))</f>
        <v/>
      </c>
    </row>
    <row r="50" spans="14:17" ht="13" thickBot="1">
      <c r="N50" s="137" t="str">
        <f>IF(O9&lt;14800,IF(AND(O9&gt;14500,O9&lt;=14700),14600,""),14800)</f>
        <v/>
      </c>
      <c r="O50" s="48" t="str">
        <f>IF(O9&lt;14600,"",IF(N50=14600,"36 tours 1/2",IF(N50=14800,"37 tours","")))</f>
        <v/>
      </c>
      <c r="P50" s="138" t="str">
        <f>IF(OR(D6=0,D6=""),IF(F3="","",IF(N50="","",INT(N50/F3/1000*60))),IF(N50="","",INT(N50/D6/1000*60)))</f>
        <v/>
      </c>
      <c r="Q50" s="139" t="str">
        <f>IF(OR(D6=0,D6=""),IF(F3="","",IF(N50="","",((N50/F3/1000*60)-INT(N50/F3/1000*60))*60)),IF(N50="","",((N50/D6/1000*60)-INT(N50/D6/1000*60))*60))</f>
        <v/>
      </c>
    </row>
    <row r="51" spans="14:17" ht="13" thickBot="1">
      <c r="N51" s="137" t="str">
        <f>IF(O9&lt;15000,"",15000)</f>
        <v/>
      </c>
      <c r="O51" s="48" t="str">
        <f>IF(O9&lt;15000,"","37 tours 1/2")</f>
        <v/>
      </c>
      <c r="P51" s="140" t="str">
        <f>IF(OR(D6=0,D6=""),IF(F3="","",IF(N51="","",INT(N51/F3/1000*60))),IF(N51="","",INT(N51/D6/1000*60)))</f>
        <v/>
      </c>
      <c r="Q51" s="141" t="str">
        <f>IF(OR(D6=0,D6=""),IF(F3="","",IF(N51="","",((N51/F3/1000*60)-INT(N51/F3/1000*60))*60)),IF(N51="","",((N51/D6/1000*60)-INT(N51/D6/1000*60))*60))</f>
        <v/>
      </c>
    </row>
    <row r="52" spans="14:17">
      <c r="P52" s="169"/>
      <c r="Q52" s="169"/>
    </row>
    <row r="53" spans="14:17">
      <c r="P53" s="170"/>
      <c r="Q53" s="169"/>
    </row>
    <row r="54" spans="14:17">
      <c r="P54" s="170"/>
      <c r="Q54" s="169"/>
    </row>
    <row r="55" spans="14:17">
      <c r="P55" s="170"/>
      <c r="Q55" s="169"/>
    </row>
  </sheetData>
  <sheetProtection password="CE2A" sheet="1" objects="1" scenarios="1"/>
  <mergeCells count="32">
    <mergeCell ref="K41:L41"/>
    <mergeCell ref="K44:L44"/>
    <mergeCell ref="K45:L45"/>
    <mergeCell ref="A47:F48"/>
    <mergeCell ref="G47:G48"/>
    <mergeCell ref="B40:C40"/>
    <mergeCell ref="K40:L40"/>
    <mergeCell ref="B24:F24"/>
    <mergeCell ref="I26:K26"/>
    <mergeCell ref="B28:F28"/>
    <mergeCell ref="G28:H28"/>
    <mergeCell ref="K28:L28"/>
    <mergeCell ref="G30:H30"/>
    <mergeCell ref="K30:L30"/>
    <mergeCell ref="G32:H32"/>
    <mergeCell ref="K32:L32"/>
    <mergeCell ref="B37:C37"/>
    <mergeCell ref="K37:L37"/>
    <mergeCell ref="K38:L38"/>
    <mergeCell ref="P6:R8"/>
    <mergeCell ref="E9:N9"/>
    <mergeCell ref="K20:L20"/>
    <mergeCell ref="K21:L21"/>
    <mergeCell ref="B22:F23"/>
    <mergeCell ref="G22:G23"/>
    <mergeCell ref="H22:K23"/>
    <mergeCell ref="B6:C6"/>
    <mergeCell ref="C1:H1"/>
    <mergeCell ref="B2:H2"/>
    <mergeCell ref="B3:E3"/>
    <mergeCell ref="F3:G3"/>
    <mergeCell ref="B5:F5"/>
  </mergeCells>
  <conditionalFormatting sqref="B2:H2">
    <cfRule type="cellIs" dxfId="3" priority="1" stopIfTrue="1" operator="notEqual">
      <formula>""""""</formula>
    </cfRule>
  </conditionalFormatting>
  <conditionalFormatting sqref="B6:D6 N12:Q51">
    <cfRule type="cellIs" dxfId="2" priority="2" stopIfTrue="1" operator="equal">
      <formula>""</formula>
    </cfRule>
  </conditionalFormatting>
  <conditionalFormatting sqref="P6:R8">
    <cfRule type="cellIs" dxfId="1" priority="3" stopIfTrue="1" operator="notEqual">
      <formula>""</formula>
    </cfRule>
  </conditionalFormatting>
  <conditionalFormatting sqref="D4">
    <cfRule type="cellIs" dxfId="0" priority="4" stopIfTrue="1" operator="notEqual">
      <formula>""""""</formula>
    </cfRule>
  </conditionalFormatting>
  <hyperlinks>
    <hyperlink ref="B3" location="allures!I33" tooltip="Retour à la feuille allure" display="vitesse SEUIL (rappel feuille allures)"/>
    <hyperlink ref="G47" location="distance!Q23" tooltip="Temps aux 1000m en fonction des différentes vitesses" display="KILO"/>
    <hyperlink ref="G22" location="allures!I39" display="allures!I39"/>
    <hyperlink ref="G22:G23" location="allures!K44" tooltip="Fréquence cardiaque au seuil (85% FCM)" display="allures!K44"/>
    <hyperlink ref="B3:D3" location="allures!I40" tooltip="Aller au niveau de la résistance douce (seuil) de la feuille allures." display="vitesse SEUIL (rappel feuille allures)"/>
    <hyperlink ref="B2:H2" location="allures!G7" tooltip="Aller au niveau du test VMA de la feuille allures." display="allures!G7"/>
    <hyperlink ref="B3:E3" location="allures!I43" tooltip="Aller au niveau de la résistance douce (seuil) de la feuille allures." display="vitesse SEUIL (rappel feuille allures)"/>
    <hyperlink ref="G47:G48" location="distance!R23" tooltip="Temps aux 1000m en fonction des différentes vitesses" display="KILO"/>
  </hyperlinks>
  <pageMargins left="0.12" right="0.12" top="0.35" bottom="0.984251969" header="0.12" footer="0.4921259845"/>
  <pageSetup paperSize="9" scale="75" orientation="portrait" horizontalDpi="360" verticalDpi="360"/>
  <legacy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70"/>
  <sheetViews>
    <sheetView showGridLines="0" workbookViewId="0">
      <selection activeCell="K14" sqref="K14"/>
    </sheetView>
  </sheetViews>
  <sheetFormatPr baseColWidth="10" defaultRowHeight="12" x14ac:dyDescent="0"/>
  <cols>
    <col min="1" max="1" width="2.6640625" customWidth="1"/>
    <col min="2" max="2" width="21.5" style="3" customWidth="1"/>
    <col min="3" max="4" width="8.1640625" style="3" bestFit="1" customWidth="1"/>
    <col min="5" max="5" width="12.5" customWidth="1"/>
    <col min="6" max="6" width="11.33203125" customWidth="1"/>
    <col min="7" max="7" width="10.5" customWidth="1"/>
    <col min="8" max="9" width="10.1640625" customWidth="1"/>
    <col min="10" max="10" width="10.5" customWidth="1"/>
    <col min="11" max="12" width="8.5" bestFit="1" customWidth="1"/>
    <col min="14" max="14" width="68.6640625" customWidth="1"/>
    <col min="15" max="15" width="10.83203125" style="3"/>
  </cols>
  <sheetData>
    <row r="1" spans="2:15" ht="13" thickBot="1"/>
    <row r="2" spans="2:15" ht="23" customHeight="1" thickBot="1">
      <c r="B2" s="398" t="s">
        <v>245</v>
      </c>
      <c r="C2" s="399"/>
      <c r="D2" s="399"/>
      <c r="E2" s="399"/>
      <c r="F2" s="399"/>
      <c r="G2" s="399"/>
      <c r="H2" s="399"/>
      <c r="I2" s="399"/>
      <c r="J2" s="399"/>
      <c r="K2" s="399"/>
      <c r="L2" s="400"/>
      <c r="N2" s="382" t="s">
        <v>256</v>
      </c>
    </row>
    <row r="3" spans="2:15" ht="13" thickBot="1">
      <c r="N3" s="382"/>
    </row>
    <row r="4" spans="2:15" ht="30" customHeight="1" thickBot="1">
      <c r="B4" s="425" t="s">
        <v>247</v>
      </c>
      <c r="C4" s="426"/>
      <c r="D4" s="426"/>
      <c r="E4" s="426"/>
      <c r="F4" s="426"/>
      <c r="G4" s="426"/>
      <c r="H4" s="426"/>
      <c r="I4" s="426"/>
      <c r="J4" s="426"/>
      <c r="K4" s="426"/>
      <c r="L4" s="427"/>
      <c r="N4" s="382"/>
    </row>
    <row r="5" spans="2:15" ht="37" thickBot="1">
      <c r="B5" s="26" t="s">
        <v>240</v>
      </c>
      <c r="C5" s="26" t="s">
        <v>246</v>
      </c>
      <c r="D5" s="26" t="s">
        <v>252</v>
      </c>
      <c r="E5" s="20" t="s">
        <v>248</v>
      </c>
      <c r="F5" s="125" t="s">
        <v>253</v>
      </c>
      <c r="G5" s="125" t="s">
        <v>254</v>
      </c>
      <c r="H5" s="125" t="s">
        <v>255</v>
      </c>
      <c r="I5" s="125" t="s">
        <v>444</v>
      </c>
      <c r="J5" s="125" t="s">
        <v>249</v>
      </c>
      <c r="K5" s="125" t="s">
        <v>250</v>
      </c>
      <c r="L5" s="125" t="s">
        <v>251</v>
      </c>
      <c r="N5" s="382"/>
    </row>
    <row r="6" spans="2:15" ht="13" thickBot="1">
      <c r="B6" s="29">
        <v>42005</v>
      </c>
      <c r="C6" s="124">
        <f>WEEKNUM($B6)</f>
        <v>1</v>
      </c>
      <c r="D6" s="124">
        <f>MONTH(B6)</f>
        <v>1</v>
      </c>
      <c r="E6" s="28">
        <v>0</v>
      </c>
      <c r="F6" s="28" t="str">
        <f>CONCATENATE(SUMIF($C$6:$C6,C6,$E$6:$E$370)," / ",SUMIF($C$6:$C$370,C6,$E$6:$E$370))</f>
        <v>0 / 0</v>
      </c>
      <c r="G6" s="28" t="str">
        <f>CONCATENATE(SUMIF($D$6:$D6,D6,$E$6:$E$370)," / ",SUMIF($D$6:$D$370,D6,$E$6:$E$370))</f>
        <v>0 / 139</v>
      </c>
      <c r="H6" s="28" t="str">
        <f>CONCATENATE(SUM($E$6:$E6)," / ",SUM($E$6:$E$370))</f>
        <v>0 / 1280</v>
      </c>
      <c r="I6" s="209">
        <f>SUM($E$6:$E6)/(1+B6-B$6)</f>
        <v>0</v>
      </c>
      <c r="J6" s="24"/>
      <c r="K6" s="24"/>
      <c r="L6" s="24"/>
      <c r="O6" s="21"/>
    </row>
    <row r="7" spans="2:15" ht="13" thickBot="1">
      <c r="B7" s="123">
        <f>B6+1</f>
        <v>42006</v>
      </c>
      <c r="C7" s="124">
        <f t="shared" ref="C7:C70" si="0">WEEKNUM($B7)</f>
        <v>1</v>
      </c>
      <c r="D7" s="124">
        <f t="shared" ref="D7:D70" si="1">MONTH(B7)</f>
        <v>1</v>
      </c>
      <c r="E7" s="28">
        <v>0</v>
      </c>
      <c r="F7" s="28" t="str">
        <f>CONCATENATE(SUMIF($C$6:$C7,C7,$E$6:$E$370)," / ",SUMIF($C$6:$C$370,C7,$E$6:$E$370))</f>
        <v>0 / 0</v>
      </c>
      <c r="G7" s="28" t="str">
        <f>CONCATENATE(SUMIF($D$6:$D7,D7,$E$6:$E$370)," / ",SUMIF($D$6:$D$370,D7,$E$6:$E$370))</f>
        <v>0 / 139</v>
      </c>
      <c r="H7" s="28" t="str">
        <f>CONCATENATE(SUM($E$6:$E7)," / ",SUM($E$6:$E$370))</f>
        <v>0 / 1280</v>
      </c>
      <c r="I7" s="209">
        <f>SUM($E$6:$E7)/(1+B7-B$6)</f>
        <v>0</v>
      </c>
      <c r="J7" s="24"/>
      <c r="K7" s="24"/>
      <c r="L7" s="24"/>
    </row>
    <row r="8" spans="2:15" ht="13" thickBot="1">
      <c r="B8" s="123">
        <f t="shared" ref="B8:B71" si="2">B7+1</f>
        <v>42007</v>
      </c>
      <c r="C8" s="124">
        <f t="shared" si="0"/>
        <v>1</v>
      </c>
      <c r="D8" s="124">
        <f t="shared" si="1"/>
        <v>1</v>
      </c>
      <c r="E8" s="28">
        <v>0</v>
      </c>
      <c r="F8" s="28" t="str">
        <f>CONCATENATE(SUMIF($C$6:$C8,C8,$E$6:$E$370)," / ",SUMIF($C$6:$C$370,C8,$E$6:$E$370))</f>
        <v>0 / 0</v>
      </c>
      <c r="G8" s="28" t="str">
        <f>CONCATENATE(SUMIF($D$6:$D8,D8,$E$6:$E$370)," / ",SUMIF($D$6:$D$370,D8,$E$6:$E$370))</f>
        <v>0 / 139</v>
      </c>
      <c r="H8" s="28" t="str">
        <f>CONCATENATE(SUM($E$6:$E8)," / ",SUM($E$6:$E$370))</f>
        <v>0 / 1280</v>
      </c>
      <c r="I8" s="209">
        <f>SUM($E$6:$E8)/(1+B8-B$6)</f>
        <v>0</v>
      </c>
      <c r="J8" s="24"/>
      <c r="K8" s="24"/>
      <c r="L8" s="24"/>
    </row>
    <row r="9" spans="2:15" ht="13" thickBot="1">
      <c r="B9" s="123">
        <f t="shared" si="2"/>
        <v>42008</v>
      </c>
      <c r="C9" s="124">
        <f t="shared" si="0"/>
        <v>2</v>
      </c>
      <c r="D9" s="124">
        <f t="shared" si="1"/>
        <v>1</v>
      </c>
      <c r="E9" s="28">
        <v>0</v>
      </c>
      <c r="F9" s="28" t="str">
        <f>CONCATENATE(SUMIF($C$6:$C9,C9,$E$6:$E$370)," / ",SUMIF($C$6:$C$370,C9,$E$6:$E$370))</f>
        <v>0 / 27</v>
      </c>
      <c r="G9" s="28" t="str">
        <f>CONCATENATE(SUMIF($D$6:$D9,D9,$E$6:$E$370)," / ",SUMIF($D$6:$D$370,D9,$E$6:$E$370))</f>
        <v>0 / 139</v>
      </c>
      <c r="H9" s="28" t="str">
        <f>CONCATENATE(SUM($E$6:$E9)," / ",SUM($E$6:$E$370))</f>
        <v>0 / 1280</v>
      </c>
      <c r="I9" s="209">
        <f>SUM($E$6:$E9)/(1+B9-B$6)</f>
        <v>0</v>
      </c>
      <c r="J9" s="24"/>
      <c r="K9" s="24"/>
      <c r="L9" s="24"/>
    </row>
    <row r="10" spans="2:15" ht="13" thickBot="1">
      <c r="B10" s="123">
        <f t="shared" si="2"/>
        <v>42009</v>
      </c>
      <c r="C10" s="124">
        <f t="shared" si="0"/>
        <v>2</v>
      </c>
      <c r="D10" s="124">
        <f t="shared" si="1"/>
        <v>1</v>
      </c>
      <c r="E10" s="28">
        <v>0</v>
      </c>
      <c r="F10" s="28" t="str">
        <f>CONCATENATE(SUMIF($C$6:$C10,C10,$E$6:$E$370)," / ",SUMIF($C$6:$C$370,C10,$E$6:$E$370))</f>
        <v>0 / 27</v>
      </c>
      <c r="G10" s="28" t="str">
        <f>CONCATENATE(SUMIF($D$6:$D10,D10,$E$6:$E$370)," / ",SUMIF($D$6:$D$370,D10,$E$6:$E$370))</f>
        <v>0 / 139</v>
      </c>
      <c r="H10" s="28" t="str">
        <f>CONCATENATE(SUM($E$6:$E10)," / ",SUM($E$6:$E$370))</f>
        <v>0 / 1280</v>
      </c>
      <c r="I10" s="209">
        <f>SUM($E$6:$E10)/(1+B10-B$6)</f>
        <v>0</v>
      </c>
      <c r="J10" s="24"/>
      <c r="K10" s="24"/>
      <c r="L10" s="24"/>
    </row>
    <row r="11" spans="2:15" ht="13" thickBot="1">
      <c r="B11" s="123">
        <f t="shared" si="2"/>
        <v>42010</v>
      </c>
      <c r="C11" s="124">
        <f t="shared" si="0"/>
        <v>2</v>
      </c>
      <c r="D11" s="124">
        <f t="shared" si="1"/>
        <v>1</v>
      </c>
      <c r="E11" s="28">
        <v>5</v>
      </c>
      <c r="F11" s="28" t="str">
        <f>CONCATENATE(SUMIF($C$6:$C11,C11,$E$6:$E$370)," / ",SUMIF($C$6:$C$370,C11,$E$6:$E$370))</f>
        <v>5 / 27</v>
      </c>
      <c r="G11" s="28" t="str">
        <f>CONCATENATE(SUMIF($D$6:$D11,D11,$E$6:$E$370)," / ",SUMIF($D$6:$D$370,D11,$E$6:$E$370))</f>
        <v>5 / 139</v>
      </c>
      <c r="H11" s="28" t="str">
        <f>CONCATENATE(SUM($E$6:$E11)," / ",SUM($E$6:$E$370))</f>
        <v>5 / 1280</v>
      </c>
      <c r="I11" s="209">
        <f>SUM($E$6:$E11)/(1+B11-B$6)</f>
        <v>0.83333333333333337</v>
      </c>
      <c r="J11" s="24"/>
      <c r="K11" s="24"/>
      <c r="L11" s="24"/>
    </row>
    <row r="12" spans="2:15" ht="13" thickBot="1">
      <c r="B12" s="123">
        <f t="shared" si="2"/>
        <v>42011</v>
      </c>
      <c r="C12" s="124">
        <f t="shared" si="0"/>
        <v>2</v>
      </c>
      <c r="D12" s="124">
        <f t="shared" si="1"/>
        <v>1</v>
      </c>
      <c r="E12" s="28">
        <v>15</v>
      </c>
      <c r="F12" s="28" t="str">
        <f>CONCATENATE(SUMIF($C$6:$C12,C12,$E$6:$E$370)," / ",SUMIF($C$6:$C$370,C12,$E$6:$E$370))</f>
        <v>20 / 27</v>
      </c>
      <c r="G12" s="28" t="str">
        <f>CONCATENATE(SUMIF($D$6:$D12,D12,$E$6:$E$370)," / ",SUMIF($D$6:$D$370,D12,$E$6:$E$370))</f>
        <v>20 / 139</v>
      </c>
      <c r="H12" s="28" t="str">
        <f>CONCATENATE(SUM($E$6:$E12)," / ",SUM($E$6:$E$370))</f>
        <v>20 / 1280</v>
      </c>
      <c r="I12" s="209">
        <f>SUM($E$6:$E12)/(1+B12-B$6)</f>
        <v>2.8571428571428572</v>
      </c>
      <c r="J12" s="24"/>
      <c r="K12" s="24"/>
      <c r="L12" s="24"/>
    </row>
    <row r="13" spans="2:15" ht="13" thickBot="1">
      <c r="B13" s="123">
        <f t="shared" si="2"/>
        <v>42012</v>
      </c>
      <c r="C13" s="124">
        <f t="shared" si="0"/>
        <v>2</v>
      </c>
      <c r="D13" s="124">
        <f t="shared" si="1"/>
        <v>1</v>
      </c>
      <c r="E13" s="28">
        <v>0</v>
      </c>
      <c r="F13" s="28" t="str">
        <f>CONCATENATE(SUMIF($C$6:$C13,C13,$E$6:$E$370)," / ",SUMIF($C$6:$C$370,C13,$E$6:$E$370))</f>
        <v>20 / 27</v>
      </c>
      <c r="G13" s="28" t="str">
        <f>CONCATENATE(SUMIF($D$6:$D13,D13,$E$6:$E$370)," / ",SUMIF($D$6:$D$370,D13,$E$6:$E$370))</f>
        <v>20 / 139</v>
      </c>
      <c r="H13" s="28" t="str">
        <f>CONCATENATE(SUM($E$6:$E13)," / ",SUM($E$6:$E$370))</f>
        <v>20 / 1280</v>
      </c>
      <c r="I13" s="209">
        <f>SUM($E$6:$E13)/(1+B13-B$6)</f>
        <v>2.5</v>
      </c>
      <c r="J13" s="24"/>
      <c r="K13" s="24"/>
      <c r="L13" s="24"/>
    </row>
    <row r="14" spans="2:15" ht="13" thickBot="1">
      <c r="B14" s="123">
        <f t="shared" si="2"/>
        <v>42013</v>
      </c>
      <c r="C14" s="124">
        <f t="shared" si="0"/>
        <v>2</v>
      </c>
      <c r="D14" s="124">
        <f t="shared" si="1"/>
        <v>1</v>
      </c>
      <c r="E14" s="28">
        <v>7</v>
      </c>
      <c r="F14" s="28" t="str">
        <f>CONCATENATE(SUMIF($C$6:$C14,C14,$E$6:$E$370)," / ",SUMIF($C$6:$C$370,C14,$E$6:$E$370))</f>
        <v>27 / 27</v>
      </c>
      <c r="G14" s="28" t="str">
        <f>CONCATENATE(SUMIF($D$6:$D14,D14,$E$6:$E$370)," / ",SUMIF($D$6:$D$370,D14,$E$6:$E$370))</f>
        <v>27 / 139</v>
      </c>
      <c r="H14" s="28" t="str">
        <f>CONCATENATE(SUM($E$6:$E14)," / ",SUM($E$6:$E$370))</f>
        <v>27 / 1280</v>
      </c>
      <c r="I14" s="209">
        <f>SUM($E$6:$E14)/(1+B14-B$6)</f>
        <v>3</v>
      </c>
      <c r="J14" s="24"/>
      <c r="K14" s="24"/>
      <c r="L14" s="24"/>
    </row>
    <row r="15" spans="2:15" ht="13" thickBot="1">
      <c r="B15" s="123">
        <f t="shared" si="2"/>
        <v>42014</v>
      </c>
      <c r="C15" s="124">
        <f t="shared" si="0"/>
        <v>2</v>
      </c>
      <c r="D15" s="124">
        <f t="shared" si="1"/>
        <v>1</v>
      </c>
      <c r="E15" s="28">
        <v>0</v>
      </c>
      <c r="F15" s="28" t="str">
        <f>CONCATENATE(SUMIF($C$6:$C15,C15,$E$6:$E$370)," / ",SUMIF($C$6:$C$370,C15,$E$6:$E$370))</f>
        <v>27 / 27</v>
      </c>
      <c r="G15" s="28" t="str">
        <f>CONCATENATE(SUMIF($D$6:$D15,D15,$E$6:$E$370)," / ",SUMIF($D$6:$D$370,D15,$E$6:$E$370))</f>
        <v>27 / 139</v>
      </c>
      <c r="H15" s="28" t="str">
        <f>CONCATENATE(SUM($E$6:$E15)," / ",SUM($E$6:$E$370))</f>
        <v>27 / 1280</v>
      </c>
      <c r="I15" s="209">
        <f>SUM($E$6:$E15)/(1+B15-B$6)</f>
        <v>2.7</v>
      </c>
      <c r="J15" s="24"/>
      <c r="K15" s="24"/>
      <c r="L15" s="24"/>
    </row>
    <row r="16" spans="2:15" ht="13" thickBot="1">
      <c r="B16" s="123">
        <f t="shared" si="2"/>
        <v>42015</v>
      </c>
      <c r="C16" s="124">
        <f t="shared" si="0"/>
        <v>3</v>
      </c>
      <c r="D16" s="124">
        <f t="shared" si="1"/>
        <v>1</v>
      </c>
      <c r="E16" s="28">
        <v>0</v>
      </c>
      <c r="F16" s="28" t="str">
        <f>CONCATENATE(SUMIF($C$6:$C16,C16,$E$6:$E$370)," / ",SUMIF($C$6:$C$370,C16,$E$6:$E$370))</f>
        <v>0 / 19</v>
      </c>
      <c r="G16" s="28" t="str">
        <f>CONCATENATE(SUMIF($D$6:$D16,D16,$E$6:$E$370)," / ",SUMIF($D$6:$D$370,D16,$E$6:$E$370))</f>
        <v>27 / 139</v>
      </c>
      <c r="H16" s="28" t="str">
        <f>CONCATENATE(SUM($E$6:$E16)," / ",SUM($E$6:$E$370))</f>
        <v>27 / 1280</v>
      </c>
      <c r="I16" s="209">
        <f>SUM($E$6:$E16)/(1+B16-B$6)</f>
        <v>2.4545454545454546</v>
      </c>
      <c r="J16" s="24"/>
      <c r="K16" s="24"/>
      <c r="L16" s="24"/>
    </row>
    <row r="17" spans="2:12" ht="13" thickBot="1">
      <c r="B17" s="123">
        <f t="shared" si="2"/>
        <v>42016</v>
      </c>
      <c r="C17" s="124">
        <f t="shared" si="0"/>
        <v>3</v>
      </c>
      <c r="D17" s="124">
        <f t="shared" si="1"/>
        <v>1</v>
      </c>
      <c r="E17" s="28">
        <v>0</v>
      </c>
      <c r="F17" s="28" t="str">
        <f>CONCATENATE(SUMIF($C$6:$C17,C17,$E$6:$E$370)," / ",SUMIF($C$6:$C$370,C17,$E$6:$E$370))</f>
        <v>0 / 19</v>
      </c>
      <c r="G17" s="28" t="str">
        <f>CONCATENATE(SUMIF($D$6:$D17,D17,$E$6:$E$370)," / ",SUMIF($D$6:$D$370,D17,$E$6:$E$370))</f>
        <v>27 / 139</v>
      </c>
      <c r="H17" s="28" t="str">
        <f>CONCATENATE(SUM($E$6:$E17)," / ",SUM($E$6:$E$370))</f>
        <v>27 / 1280</v>
      </c>
      <c r="I17" s="209">
        <f>SUM($E$6:$E17)/(1+B17-B$6)</f>
        <v>2.25</v>
      </c>
      <c r="J17" s="24"/>
      <c r="K17" s="24"/>
      <c r="L17" s="24"/>
    </row>
    <row r="18" spans="2:12" ht="13" thickBot="1">
      <c r="B18" s="123">
        <f t="shared" si="2"/>
        <v>42017</v>
      </c>
      <c r="C18" s="124">
        <f t="shared" si="0"/>
        <v>3</v>
      </c>
      <c r="D18" s="124">
        <f t="shared" si="1"/>
        <v>1</v>
      </c>
      <c r="E18" s="28">
        <v>0</v>
      </c>
      <c r="F18" s="28" t="str">
        <f>CONCATENATE(SUMIF($C$6:$C18,C18,$E$6:$E$370)," / ",SUMIF($C$6:$C$370,C18,$E$6:$E$370))</f>
        <v>0 / 19</v>
      </c>
      <c r="G18" s="28" t="str">
        <f>CONCATENATE(SUMIF($D$6:$D18,D18,$E$6:$E$370)," / ",SUMIF($D$6:$D$370,D18,$E$6:$E$370))</f>
        <v>27 / 139</v>
      </c>
      <c r="H18" s="28" t="str">
        <f>CONCATENATE(SUM($E$6:$E18)," / ",SUM($E$6:$E$370))</f>
        <v>27 / 1280</v>
      </c>
      <c r="I18" s="209">
        <f>SUM($E$6:$E18)/(1+B18-B$6)</f>
        <v>2.0769230769230771</v>
      </c>
      <c r="J18" s="24"/>
      <c r="K18" s="24"/>
      <c r="L18" s="24"/>
    </row>
    <row r="19" spans="2:12" ht="13" thickBot="1">
      <c r="B19" s="123">
        <f t="shared" si="2"/>
        <v>42018</v>
      </c>
      <c r="C19" s="124">
        <f t="shared" si="0"/>
        <v>3</v>
      </c>
      <c r="D19" s="124">
        <f t="shared" si="1"/>
        <v>1</v>
      </c>
      <c r="E19" s="28">
        <v>9</v>
      </c>
      <c r="F19" s="28" t="str">
        <f>CONCATENATE(SUMIF($C$6:$C19,C19,$E$6:$E$370)," / ",SUMIF($C$6:$C$370,C19,$E$6:$E$370))</f>
        <v>9 / 19</v>
      </c>
      <c r="G19" s="28" t="str">
        <f>CONCATENATE(SUMIF($D$6:$D19,D19,$E$6:$E$370)," / ",SUMIF($D$6:$D$370,D19,$E$6:$E$370))</f>
        <v>36 / 139</v>
      </c>
      <c r="H19" s="28" t="str">
        <f>CONCATENATE(SUM($E$6:$E19)," / ",SUM($E$6:$E$370))</f>
        <v>36 / 1280</v>
      </c>
      <c r="I19" s="209">
        <f>SUM($E$6:$E19)/(1+B19-B$6)</f>
        <v>2.5714285714285716</v>
      </c>
      <c r="J19" s="24"/>
      <c r="K19" s="24"/>
      <c r="L19" s="24"/>
    </row>
    <row r="20" spans="2:12" ht="13" thickBot="1">
      <c r="B20" s="123">
        <f t="shared" si="2"/>
        <v>42019</v>
      </c>
      <c r="C20" s="124">
        <f t="shared" si="0"/>
        <v>3</v>
      </c>
      <c r="D20" s="124">
        <f t="shared" si="1"/>
        <v>1</v>
      </c>
      <c r="E20" s="28">
        <v>0</v>
      </c>
      <c r="F20" s="28" t="str">
        <f>CONCATENATE(SUMIF($C$6:$C20,C20,$E$6:$E$370)," / ",SUMIF($C$6:$C$370,C20,$E$6:$E$370))</f>
        <v>9 / 19</v>
      </c>
      <c r="G20" s="28" t="str">
        <f>CONCATENATE(SUMIF($D$6:$D20,D20,$E$6:$E$370)," / ",SUMIF($D$6:$D$370,D20,$E$6:$E$370))</f>
        <v>36 / 139</v>
      </c>
      <c r="H20" s="28" t="str">
        <f>CONCATENATE(SUM($E$6:$E20)," / ",SUM($E$6:$E$370))</f>
        <v>36 / 1280</v>
      </c>
      <c r="I20" s="209">
        <f>SUM($E$6:$E20)/(1+B20-B$6)</f>
        <v>2.4</v>
      </c>
      <c r="J20" s="24"/>
      <c r="K20" s="24"/>
      <c r="L20" s="24"/>
    </row>
    <row r="21" spans="2:12" ht="13" thickBot="1">
      <c r="B21" s="123">
        <f t="shared" si="2"/>
        <v>42020</v>
      </c>
      <c r="C21" s="124">
        <f t="shared" si="0"/>
        <v>3</v>
      </c>
      <c r="D21" s="124">
        <f t="shared" si="1"/>
        <v>1</v>
      </c>
      <c r="E21" s="28">
        <v>10</v>
      </c>
      <c r="F21" s="28" t="str">
        <f>CONCATENATE(SUMIF($C$6:$C21,C21,$E$6:$E$370)," / ",SUMIF($C$6:$C$370,C21,$E$6:$E$370))</f>
        <v>19 / 19</v>
      </c>
      <c r="G21" s="28" t="str">
        <f>CONCATENATE(SUMIF($D$6:$D21,D21,$E$6:$E$370)," / ",SUMIF($D$6:$D$370,D21,$E$6:$E$370))</f>
        <v>46 / 139</v>
      </c>
      <c r="H21" s="28" t="str">
        <f>CONCATENATE(SUM($E$6:$E21)," / ",SUM($E$6:$E$370))</f>
        <v>46 / 1280</v>
      </c>
      <c r="I21" s="209">
        <f>SUM($E$6:$E21)/(1+B21-B$6)</f>
        <v>2.875</v>
      </c>
      <c r="J21" s="24"/>
      <c r="K21" s="24"/>
      <c r="L21" s="24"/>
    </row>
    <row r="22" spans="2:12" ht="13" thickBot="1">
      <c r="B22" s="123">
        <f t="shared" si="2"/>
        <v>42021</v>
      </c>
      <c r="C22" s="124">
        <f t="shared" si="0"/>
        <v>3</v>
      </c>
      <c r="D22" s="124">
        <f t="shared" si="1"/>
        <v>1</v>
      </c>
      <c r="E22" s="28">
        <v>0</v>
      </c>
      <c r="F22" s="28" t="str">
        <f>CONCATENATE(SUMIF($C$6:$C22,C22,$E$6:$E$370)," / ",SUMIF($C$6:$C$370,C22,$E$6:$E$370))</f>
        <v>19 / 19</v>
      </c>
      <c r="G22" s="28" t="str">
        <f>CONCATENATE(SUMIF($D$6:$D22,D22,$E$6:$E$370)," / ",SUMIF($D$6:$D$370,D22,$E$6:$E$370))</f>
        <v>46 / 139</v>
      </c>
      <c r="H22" s="28" t="str">
        <f>CONCATENATE(SUM($E$6:$E22)," / ",SUM($E$6:$E$370))</f>
        <v>46 / 1280</v>
      </c>
      <c r="I22" s="209">
        <f>SUM($E$6:$E22)/(1+B22-B$6)</f>
        <v>2.7058823529411766</v>
      </c>
      <c r="J22" s="24"/>
      <c r="K22" s="24"/>
      <c r="L22" s="24"/>
    </row>
    <row r="23" spans="2:12" ht="13" thickBot="1">
      <c r="B23" s="123">
        <f t="shared" si="2"/>
        <v>42022</v>
      </c>
      <c r="C23" s="124">
        <f t="shared" si="0"/>
        <v>4</v>
      </c>
      <c r="D23" s="124">
        <f t="shared" si="1"/>
        <v>1</v>
      </c>
      <c r="E23" s="28">
        <v>0</v>
      </c>
      <c r="F23" s="28" t="str">
        <f>CONCATENATE(SUMIF($C$6:$C23,C23,$E$6:$E$370)," / ",SUMIF($C$6:$C$370,C23,$E$6:$E$370))</f>
        <v>0 / 25</v>
      </c>
      <c r="G23" s="28" t="str">
        <f>CONCATENATE(SUMIF($D$6:$D23,D23,$E$6:$E$370)," / ",SUMIF($D$6:$D$370,D23,$E$6:$E$370))</f>
        <v>46 / 139</v>
      </c>
      <c r="H23" s="28" t="str">
        <f>CONCATENATE(SUM($E$6:$E23)," / ",SUM($E$6:$E$370))</f>
        <v>46 / 1280</v>
      </c>
      <c r="I23" s="209">
        <f>SUM($E$6:$E23)/(1+B23-B$6)</f>
        <v>2.5555555555555554</v>
      </c>
      <c r="J23" s="24"/>
      <c r="K23" s="24"/>
      <c r="L23" s="24"/>
    </row>
    <row r="24" spans="2:12" ht="13" thickBot="1">
      <c r="B24" s="123">
        <f t="shared" si="2"/>
        <v>42023</v>
      </c>
      <c r="C24" s="124">
        <f t="shared" si="0"/>
        <v>4</v>
      </c>
      <c r="D24" s="124">
        <f t="shared" si="1"/>
        <v>1</v>
      </c>
      <c r="E24" s="28">
        <v>0</v>
      </c>
      <c r="F24" s="28" t="str">
        <f>CONCATENATE(SUMIF($C$6:$C24,C24,$E$6:$E$370)," / ",SUMIF($C$6:$C$370,C24,$E$6:$E$370))</f>
        <v>0 / 25</v>
      </c>
      <c r="G24" s="28" t="str">
        <f>CONCATENATE(SUMIF($D$6:$D24,D24,$E$6:$E$370)," / ",SUMIF($D$6:$D$370,D24,$E$6:$E$370))</f>
        <v>46 / 139</v>
      </c>
      <c r="H24" s="28" t="str">
        <f>CONCATENATE(SUM($E$6:$E24)," / ",SUM($E$6:$E$370))</f>
        <v>46 / 1280</v>
      </c>
      <c r="I24" s="209">
        <f>SUM($E$6:$E24)/(1+B24-B$6)</f>
        <v>2.4210526315789473</v>
      </c>
      <c r="J24" s="24"/>
      <c r="K24" s="24"/>
      <c r="L24" s="24"/>
    </row>
    <row r="25" spans="2:12" ht="13" thickBot="1">
      <c r="B25" s="123">
        <f t="shared" si="2"/>
        <v>42024</v>
      </c>
      <c r="C25" s="124">
        <f t="shared" si="0"/>
        <v>4</v>
      </c>
      <c r="D25" s="124">
        <f t="shared" si="1"/>
        <v>1</v>
      </c>
      <c r="E25" s="28">
        <v>0</v>
      </c>
      <c r="F25" s="28" t="str">
        <f>CONCATENATE(SUMIF($C$6:$C25,C25,$E$6:$E$370)," / ",SUMIF($C$6:$C$370,C25,$E$6:$E$370))</f>
        <v>0 / 25</v>
      </c>
      <c r="G25" s="28" t="str">
        <f>CONCATENATE(SUMIF($D$6:$D25,D25,$E$6:$E$370)," / ",SUMIF($D$6:$D$370,D25,$E$6:$E$370))</f>
        <v>46 / 139</v>
      </c>
      <c r="H25" s="28" t="str">
        <f>CONCATENATE(SUM($E$6:$E25)," / ",SUM($E$6:$E$370))</f>
        <v>46 / 1280</v>
      </c>
      <c r="I25" s="209">
        <f>SUM($E$6:$E25)/(1+B25-B$6)</f>
        <v>2.2999999999999998</v>
      </c>
      <c r="J25" s="24"/>
      <c r="K25" s="24"/>
      <c r="L25" s="24"/>
    </row>
    <row r="26" spans="2:12" ht="13" thickBot="1">
      <c r="B26" s="123">
        <f t="shared" si="2"/>
        <v>42025</v>
      </c>
      <c r="C26" s="124">
        <f t="shared" si="0"/>
        <v>4</v>
      </c>
      <c r="D26" s="124">
        <f t="shared" si="1"/>
        <v>1</v>
      </c>
      <c r="E26" s="28">
        <v>0</v>
      </c>
      <c r="F26" s="28" t="str">
        <f>CONCATENATE(SUMIF($C$6:$C26,C26,$E$6:$E$370)," / ",SUMIF($C$6:$C$370,C26,$E$6:$E$370))</f>
        <v>0 / 25</v>
      </c>
      <c r="G26" s="28" t="str">
        <f>CONCATENATE(SUMIF($D$6:$D26,D26,$E$6:$E$370)," / ",SUMIF($D$6:$D$370,D26,$E$6:$E$370))</f>
        <v>46 / 139</v>
      </c>
      <c r="H26" s="28" t="str">
        <f>CONCATENATE(SUM($E$6:$E26)," / ",SUM($E$6:$E$370))</f>
        <v>46 / 1280</v>
      </c>
      <c r="I26" s="209">
        <f>SUM($E$6:$E26)/(1+B26-B$6)</f>
        <v>2.1904761904761907</v>
      </c>
      <c r="J26" s="24"/>
      <c r="K26" s="24"/>
      <c r="L26" s="24"/>
    </row>
    <row r="27" spans="2:12" ht="13" thickBot="1">
      <c r="B27" s="123">
        <f t="shared" si="2"/>
        <v>42026</v>
      </c>
      <c r="C27" s="124">
        <f t="shared" si="0"/>
        <v>4</v>
      </c>
      <c r="D27" s="124">
        <f t="shared" si="1"/>
        <v>1</v>
      </c>
      <c r="E27" s="28">
        <v>10</v>
      </c>
      <c r="F27" s="28" t="str">
        <f>CONCATENATE(SUMIF($C$6:$C27,C27,$E$6:$E$370)," / ",SUMIF($C$6:$C$370,C27,$E$6:$E$370))</f>
        <v>10 / 25</v>
      </c>
      <c r="G27" s="28" t="str">
        <f>CONCATENATE(SUMIF($D$6:$D27,D27,$E$6:$E$370)," / ",SUMIF($D$6:$D$370,D27,$E$6:$E$370))</f>
        <v>56 / 139</v>
      </c>
      <c r="H27" s="28" t="str">
        <f>CONCATENATE(SUM($E$6:$E27)," / ",SUM($E$6:$E$370))</f>
        <v>56 / 1280</v>
      </c>
      <c r="I27" s="209">
        <f>SUM($E$6:$E27)/(1+B27-B$6)</f>
        <v>2.5454545454545454</v>
      </c>
      <c r="J27" s="24"/>
      <c r="K27" s="24"/>
      <c r="L27" s="24"/>
    </row>
    <row r="28" spans="2:12" ht="13" thickBot="1">
      <c r="B28" s="123">
        <f t="shared" si="2"/>
        <v>42027</v>
      </c>
      <c r="C28" s="124">
        <f t="shared" si="0"/>
        <v>4</v>
      </c>
      <c r="D28" s="124">
        <f t="shared" si="1"/>
        <v>1</v>
      </c>
      <c r="E28" s="28">
        <v>0</v>
      </c>
      <c r="F28" s="28" t="str">
        <f>CONCATENATE(SUMIF($C$6:$C28,C28,$E$6:$E$370)," / ",SUMIF($C$6:$C$370,C28,$E$6:$E$370))</f>
        <v>10 / 25</v>
      </c>
      <c r="G28" s="28" t="str">
        <f>CONCATENATE(SUMIF($D$6:$D28,D28,$E$6:$E$370)," / ",SUMIF($D$6:$D$370,D28,$E$6:$E$370))</f>
        <v>56 / 139</v>
      </c>
      <c r="H28" s="28" t="str">
        <f>CONCATENATE(SUM($E$6:$E28)," / ",SUM($E$6:$E$370))</f>
        <v>56 / 1280</v>
      </c>
      <c r="I28" s="209">
        <f>SUM($E$6:$E28)/(1+B28-B$6)</f>
        <v>2.4347826086956523</v>
      </c>
      <c r="J28" s="24"/>
      <c r="K28" s="24"/>
      <c r="L28" s="24"/>
    </row>
    <row r="29" spans="2:12" ht="13" thickBot="1">
      <c r="B29" s="123">
        <f t="shared" si="2"/>
        <v>42028</v>
      </c>
      <c r="C29" s="124">
        <f t="shared" si="0"/>
        <v>4</v>
      </c>
      <c r="D29" s="124">
        <f t="shared" si="1"/>
        <v>1</v>
      </c>
      <c r="E29" s="28">
        <v>15</v>
      </c>
      <c r="F29" s="28" t="str">
        <f>CONCATENATE(SUMIF($C$6:$C29,C29,$E$6:$E$370)," / ",SUMIF($C$6:$C$370,C29,$E$6:$E$370))</f>
        <v>25 / 25</v>
      </c>
      <c r="G29" s="28" t="str">
        <f>CONCATENATE(SUMIF($D$6:$D29,D29,$E$6:$E$370)," / ",SUMIF($D$6:$D$370,D29,$E$6:$E$370))</f>
        <v>71 / 139</v>
      </c>
      <c r="H29" s="28" t="str">
        <f>CONCATENATE(SUM($E$6:$E29)," / ",SUM($E$6:$E$370))</f>
        <v>71 / 1280</v>
      </c>
      <c r="I29" s="209">
        <f>SUM($E$6:$E29)/(1+B29-B$6)</f>
        <v>2.9583333333333335</v>
      </c>
      <c r="J29" s="24"/>
      <c r="K29" s="24"/>
      <c r="L29" s="24"/>
    </row>
    <row r="30" spans="2:12" ht="13" thickBot="1">
      <c r="B30" s="123">
        <f t="shared" si="2"/>
        <v>42029</v>
      </c>
      <c r="C30" s="124">
        <f t="shared" si="0"/>
        <v>5</v>
      </c>
      <c r="D30" s="124">
        <f t="shared" si="1"/>
        <v>1</v>
      </c>
      <c r="E30" s="28">
        <v>18</v>
      </c>
      <c r="F30" s="28" t="str">
        <f>CONCATENATE(SUMIF($C$6:$C30,C30,$E$6:$E$370)," / ",SUMIF($C$6:$C$370,C30,$E$6:$E$370))</f>
        <v>18 / 68</v>
      </c>
      <c r="G30" s="28" t="str">
        <f>CONCATENATE(SUMIF($D$6:$D30,D30,$E$6:$E$370)," / ",SUMIF($D$6:$D$370,D30,$E$6:$E$370))</f>
        <v>89 / 139</v>
      </c>
      <c r="H30" s="28" t="str">
        <f>CONCATENATE(SUM($E$6:$E30)," / ",SUM($E$6:$E$370))</f>
        <v>89 / 1280</v>
      </c>
      <c r="I30" s="209">
        <f>SUM($E$6:$E30)/(1+B30-B$6)</f>
        <v>3.56</v>
      </c>
      <c r="J30" s="24"/>
      <c r="K30" s="24"/>
      <c r="L30" s="24"/>
    </row>
    <row r="31" spans="2:12" ht="13" thickBot="1">
      <c r="B31" s="123">
        <f t="shared" si="2"/>
        <v>42030</v>
      </c>
      <c r="C31" s="124">
        <f t="shared" si="0"/>
        <v>5</v>
      </c>
      <c r="D31" s="124">
        <f t="shared" si="1"/>
        <v>1</v>
      </c>
      <c r="E31" s="28">
        <v>10</v>
      </c>
      <c r="F31" s="28" t="str">
        <f>CONCATENATE(SUMIF($C$6:$C31,C31,$E$6:$E$370)," / ",SUMIF($C$6:$C$370,C31,$E$6:$E$370))</f>
        <v>28 / 68</v>
      </c>
      <c r="G31" s="28" t="str">
        <f>CONCATENATE(SUMIF($D$6:$D31,D31,$E$6:$E$370)," / ",SUMIF($D$6:$D$370,D31,$E$6:$E$370))</f>
        <v>99 / 139</v>
      </c>
      <c r="H31" s="28" t="str">
        <f>CONCATENATE(SUM($E$6:$E31)," / ",SUM($E$6:$E$370))</f>
        <v>99 / 1280</v>
      </c>
      <c r="I31" s="209">
        <f>SUM($E$6:$E31)/(1+B31-B$6)</f>
        <v>3.8076923076923075</v>
      </c>
      <c r="J31" s="24"/>
      <c r="K31" s="24"/>
      <c r="L31" s="24"/>
    </row>
    <row r="32" spans="2:12" ht="13" thickBot="1">
      <c r="B32" s="123">
        <f t="shared" si="2"/>
        <v>42031</v>
      </c>
      <c r="C32" s="124">
        <f t="shared" si="0"/>
        <v>5</v>
      </c>
      <c r="D32" s="124">
        <f t="shared" si="1"/>
        <v>1</v>
      </c>
      <c r="E32" s="28">
        <v>12</v>
      </c>
      <c r="F32" s="28" t="str">
        <f>CONCATENATE(SUMIF($C$6:$C32,C32,$E$6:$E$370)," / ",SUMIF($C$6:$C$370,C32,$E$6:$E$370))</f>
        <v>40 / 68</v>
      </c>
      <c r="G32" s="28" t="str">
        <f>CONCATENATE(SUMIF($D$6:$D32,D32,$E$6:$E$370)," / ",SUMIF($D$6:$D$370,D32,$E$6:$E$370))</f>
        <v>111 / 139</v>
      </c>
      <c r="H32" s="28" t="str">
        <f>CONCATENATE(SUM($E$6:$E32)," / ",SUM($E$6:$E$370))</f>
        <v>111 / 1280</v>
      </c>
      <c r="I32" s="209">
        <f>SUM($E$6:$E32)/(1+B32-B$6)</f>
        <v>4.1111111111111107</v>
      </c>
      <c r="J32" s="24"/>
      <c r="K32" s="24"/>
      <c r="L32" s="24"/>
    </row>
    <row r="33" spans="2:12" ht="13" thickBot="1">
      <c r="B33" s="123">
        <f t="shared" si="2"/>
        <v>42032</v>
      </c>
      <c r="C33" s="124">
        <f t="shared" si="0"/>
        <v>5</v>
      </c>
      <c r="D33" s="124">
        <f t="shared" si="1"/>
        <v>1</v>
      </c>
      <c r="E33" s="28">
        <v>0</v>
      </c>
      <c r="F33" s="28" t="str">
        <f>CONCATENATE(SUMIF($C$6:$C33,C33,$E$6:$E$370)," / ",SUMIF($C$6:$C$370,C33,$E$6:$E$370))</f>
        <v>40 / 68</v>
      </c>
      <c r="G33" s="28" t="str">
        <f>CONCATENATE(SUMIF($D$6:$D33,D33,$E$6:$E$370)," / ",SUMIF($D$6:$D$370,D33,$E$6:$E$370))</f>
        <v>111 / 139</v>
      </c>
      <c r="H33" s="28" t="str">
        <f>CONCATENATE(SUM($E$6:$E33)," / ",SUM($E$6:$E$370))</f>
        <v>111 / 1280</v>
      </c>
      <c r="I33" s="209">
        <f>SUM($E$6:$E33)/(1+B33-B$6)</f>
        <v>3.9642857142857144</v>
      </c>
      <c r="J33" s="24"/>
      <c r="K33" s="24"/>
      <c r="L33" s="24"/>
    </row>
    <row r="34" spans="2:12" ht="13" thickBot="1">
      <c r="B34" s="123">
        <f t="shared" si="2"/>
        <v>42033</v>
      </c>
      <c r="C34" s="124">
        <f t="shared" si="0"/>
        <v>5</v>
      </c>
      <c r="D34" s="124">
        <f t="shared" si="1"/>
        <v>1</v>
      </c>
      <c r="E34" s="28">
        <v>18</v>
      </c>
      <c r="F34" s="28" t="str">
        <f>CONCATENATE(SUMIF($C$6:$C34,C34,$E$6:$E$370)," / ",SUMIF($C$6:$C$370,C34,$E$6:$E$370))</f>
        <v>58 / 68</v>
      </c>
      <c r="G34" s="28" t="str">
        <f>CONCATENATE(SUMIF($D$6:$D34,D34,$E$6:$E$370)," / ",SUMIF($D$6:$D$370,D34,$E$6:$E$370))</f>
        <v>129 / 139</v>
      </c>
      <c r="H34" s="28" t="str">
        <f>CONCATENATE(SUM($E$6:$E34)," / ",SUM($E$6:$E$370))</f>
        <v>129 / 1280</v>
      </c>
      <c r="I34" s="209">
        <f>SUM($E$6:$E34)/(1+B34-B$6)</f>
        <v>4.4482758620689653</v>
      </c>
      <c r="J34" s="24"/>
      <c r="K34" s="24"/>
      <c r="L34" s="24"/>
    </row>
    <row r="35" spans="2:12" ht="13" thickBot="1">
      <c r="B35" s="123">
        <f t="shared" si="2"/>
        <v>42034</v>
      </c>
      <c r="C35" s="124">
        <f t="shared" si="0"/>
        <v>5</v>
      </c>
      <c r="D35" s="124">
        <f t="shared" si="1"/>
        <v>1</v>
      </c>
      <c r="E35" s="28">
        <v>10</v>
      </c>
      <c r="F35" s="28" t="str">
        <f>CONCATENATE(SUMIF($C$6:$C35,C35,$E$6:$E$370)," / ",SUMIF($C$6:$C$370,C35,$E$6:$E$370))</f>
        <v>68 / 68</v>
      </c>
      <c r="G35" s="28" t="str">
        <f>CONCATENATE(SUMIF($D$6:$D35,D35,$E$6:$E$370)," / ",SUMIF($D$6:$D$370,D35,$E$6:$E$370))</f>
        <v>139 / 139</v>
      </c>
      <c r="H35" s="28" t="str">
        <f>CONCATENATE(SUM($E$6:$E35)," / ",SUM($E$6:$E$370))</f>
        <v>139 / 1280</v>
      </c>
      <c r="I35" s="209">
        <f>SUM($E$6:$E35)/(1+B35-B$6)</f>
        <v>4.6333333333333337</v>
      </c>
      <c r="J35" s="24"/>
      <c r="K35" s="24"/>
      <c r="L35" s="24"/>
    </row>
    <row r="36" spans="2:12" ht="13" thickBot="1">
      <c r="B36" s="123">
        <f t="shared" si="2"/>
        <v>42035</v>
      </c>
      <c r="C36" s="124">
        <f t="shared" si="0"/>
        <v>5</v>
      </c>
      <c r="D36" s="124">
        <f t="shared" si="1"/>
        <v>1</v>
      </c>
      <c r="E36" s="28">
        <v>0</v>
      </c>
      <c r="F36" s="28" t="str">
        <f>CONCATENATE(SUMIF($C$6:$C36,C36,$E$6:$E$370)," / ",SUMIF($C$6:$C$370,C36,$E$6:$E$370))</f>
        <v>68 / 68</v>
      </c>
      <c r="G36" s="28" t="str">
        <f>CONCATENATE(SUMIF($D$6:$D36,D36,$E$6:$E$370)," / ",SUMIF($D$6:$D$370,D36,$E$6:$E$370))</f>
        <v>139 / 139</v>
      </c>
      <c r="H36" s="28" t="str">
        <f>CONCATENATE(SUM($E$6:$E36)," / ",SUM($E$6:$E$370))</f>
        <v>139 / 1280</v>
      </c>
      <c r="I36" s="209">
        <f>SUM($E$6:$E36)/(1+B36-B$6)</f>
        <v>4.4838709677419351</v>
      </c>
      <c r="J36" s="24"/>
      <c r="K36" s="24"/>
      <c r="L36" s="24"/>
    </row>
    <row r="37" spans="2:12" ht="13" thickBot="1">
      <c r="B37" s="123">
        <f t="shared" si="2"/>
        <v>42036</v>
      </c>
      <c r="C37" s="124">
        <f t="shared" si="0"/>
        <v>6</v>
      </c>
      <c r="D37" s="124">
        <f t="shared" si="1"/>
        <v>2</v>
      </c>
      <c r="E37" s="28">
        <v>12</v>
      </c>
      <c r="F37" s="28" t="str">
        <f>CONCATENATE(SUMIF($C$6:$C37,C37,$E$6:$E$370)," / ",SUMIF($C$6:$C$370,C37,$E$6:$E$370))</f>
        <v>12 / 56</v>
      </c>
      <c r="G37" s="28" t="str">
        <f>CONCATENATE(SUMIF($D$6:$D37,D37,$E$6:$E$370)," / ",SUMIF($D$6:$D$370,D37,$E$6:$E$370))</f>
        <v>12 / 232</v>
      </c>
      <c r="H37" s="28" t="str">
        <f>CONCATENATE(SUM($E$6:$E37)," / ",SUM($E$6:$E$370))</f>
        <v>151 / 1280</v>
      </c>
      <c r="I37" s="209">
        <f>SUM($E$6:$E37)/(1+B37-B$6)</f>
        <v>4.71875</v>
      </c>
      <c r="J37" s="24"/>
      <c r="K37" s="24"/>
      <c r="L37" s="24"/>
    </row>
    <row r="38" spans="2:12" ht="13" thickBot="1">
      <c r="B38" s="123">
        <f t="shared" si="2"/>
        <v>42037</v>
      </c>
      <c r="C38" s="124">
        <f t="shared" si="0"/>
        <v>6</v>
      </c>
      <c r="D38" s="124">
        <f t="shared" si="1"/>
        <v>2</v>
      </c>
      <c r="E38" s="28">
        <v>0</v>
      </c>
      <c r="F38" s="28" t="str">
        <f>CONCATENATE(SUMIF($C$6:$C38,C38,$E$6:$E$370)," / ",SUMIF($C$6:$C$370,C38,$E$6:$E$370))</f>
        <v>12 / 56</v>
      </c>
      <c r="G38" s="28" t="str">
        <f>CONCATENATE(SUMIF($D$6:$D38,D38,$E$6:$E$370)," / ",SUMIF($D$6:$D$370,D38,$E$6:$E$370))</f>
        <v>12 / 232</v>
      </c>
      <c r="H38" s="28" t="str">
        <f>CONCATENATE(SUM($E$6:$E38)," / ",SUM($E$6:$E$370))</f>
        <v>151 / 1280</v>
      </c>
      <c r="I38" s="209">
        <f>SUM($E$6:$E38)/(1+B38-B$6)</f>
        <v>4.5757575757575761</v>
      </c>
      <c r="J38" s="24"/>
      <c r="K38" s="24"/>
      <c r="L38" s="24"/>
    </row>
    <row r="39" spans="2:12" ht="13" thickBot="1">
      <c r="B39" s="123">
        <f t="shared" si="2"/>
        <v>42038</v>
      </c>
      <c r="C39" s="124">
        <f t="shared" si="0"/>
        <v>6</v>
      </c>
      <c r="D39" s="124">
        <f t="shared" si="1"/>
        <v>2</v>
      </c>
      <c r="E39" s="28">
        <v>0</v>
      </c>
      <c r="F39" s="28" t="str">
        <f>CONCATENATE(SUMIF($C$6:$C39,C39,$E$6:$E$370)," / ",SUMIF($C$6:$C$370,C39,$E$6:$E$370))</f>
        <v>12 / 56</v>
      </c>
      <c r="G39" s="28" t="str">
        <f>CONCATENATE(SUMIF($D$6:$D39,D39,$E$6:$E$370)," / ",SUMIF($D$6:$D$370,D39,$E$6:$E$370))</f>
        <v>12 / 232</v>
      </c>
      <c r="H39" s="28" t="str">
        <f>CONCATENATE(SUM($E$6:$E39)," / ",SUM($E$6:$E$370))</f>
        <v>151 / 1280</v>
      </c>
      <c r="I39" s="209">
        <f>SUM($E$6:$E39)/(1+B39-B$6)</f>
        <v>4.4411764705882355</v>
      </c>
      <c r="J39" s="24"/>
      <c r="K39" s="24"/>
      <c r="L39" s="24"/>
    </row>
    <row r="40" spans="2:12" ht="13" thickBot="1">
      <c r="B40" s="123">
        <f t="shared" si="2"/>
        <v>42039</v>
      </c>
      <c r="C40" s="124">
        <f t="shared" si="0"/>
        <v>6</v>
      </c>
      <c r="D40" s="124">
        <f t="shared" si="1"/>
        <v>2</v>
      </c>
      <c r="E40" s="28">
        <v>0</v>
      </c>
      <c r="F40" s="28" t="str">
        <f>CONCATENATE(SUMIF($C$6:$C40,C40,$E$6:$E$370)," / ",SUMIF($C$6:$C$370,C40,$E$6:$E$370))</f>
        <v>12 / 56</v>
      </c>
      <c r="G40" s="28" t="str">
        <f>CONCATENATE(SUMIF($D$6:$D40,D40,$E$6:$E$370)," / ",SUMIF($D$6:$D$370,D40,$E$6:$E$370))</f>
        <v>12 / 232</v>
      </c>
      <c r="H40" s="28" t="str">
        <f>CONCATENATE(SUM($E$6:$E40)," / ",SUM($E$6:$E$370))</f>
        <v>151 / 1280</v>
      </c>
      <c r="I40" s="209">
        <f>SUM($E$6:$E40)/(1+B40-B$6)</f>
        <v>4.3142857142857141</v>
      </c>
      <c r="J40" s="24"/>
      <c r="K40" s="24"/>
      <c r="L40" s="24"/>
    </row>
    <row r="41" spans="2:12" ht="13" thickBot="1">
      <c r="B41" s="123">
        <f t="shared" si="2"/>
        <v>42040</v>
      </c>
      <c r="C41" s="124">
        <f t="shared" si="0"/>
        <v>6</v>
      </c>
      <c r="D41" s="124">
        <f t="shared" si="1"/>
        <v>2</v>
      </c>
      <c r="E41" s="198">
        <f>SUMIF('SORTIES 2015'!B6:B69,B41,'SORTIES 2015'!E6:E69)</f>
        <v>11</v>
      </c>
      <c r="F41" s="28" t="str">
        <f>CONCATENATE(SUMIF($C$6:$C41,C41,$E$6:$E$370)," / ",SUMIF($C$6:$C$370,C41,$E$6:$E$370))</f>
        <v>23 / 56</v>
      </c>
      <c r="G41" s="28" t="str">
        <f>CONCATENATE(SUMIF($D$6:$D41,D41,$E$6:$E$370)," / ",SUMIF($D$6:$D$370,D41,$E$6:$E$370))</f>
        <v>23 / 232</v>
      </c>
      <c r="H41" s="28" t="str">
        <f>CONCATENATE(SUM($E$6:$E41)," / ",SUM($E$6:$E$370))</f>
        <v>162 / 1280</v>
      </c>
      <c r="I41" s="209">
        <f>SUM($E$6:$E41)/(1+B41-B$6)</f>
        <v>4.5</v>
      </c>
      <c r="J41" s="24"/>
      <c r="K41" s="24"/>
      <c r="L41" s="24"/>
    </row>
    <row r="42" spans="2:12" ht="13" thickBot="1">
      <c r="B42" s="123">
        <f t="shared" si="2"/>
        <v>42041</v>
      </c>
      <c r="C42" s="124">
        <f t="shared" si="0"/>
        <v>6</v>
      </c>
      <c r="D42" s="124">
        <f t="shared" si="1"/>
        <v>2</v>
      </c>
      <c r="E42" s="198">
        <f>SUMIF('SORTIES 2015'!B7:B70,B42,'SORTIES 2015'!E7:E70)</f>
        <v>15</v>
      </c>
      <c r="F42" s="28" t="str">
        <f>CONCATENATE(SUMIF($C$6:$C42,C42,$E$6:$E$370)," / ",SUMIF($C$6:$C$370,C42,$E$6:$E$370))</f>
        <v>38 / 56</v>
      </c>
      <c r="G42" s="28" t="str">
        <f>CONCATENATE(SUMIF($D$6:$D42,D42,$E$6:$E$370)," / ",SUMIF($D$6:$D$370,D42,$E$6:$E$370))</f>
        <v>38 / 232</v>
      </c>
      <c r="H42" s="28" t="str">
        <f>CONCATENATE(SUM($E$6:$E42)," / ",SUM($E$6:$E$370))</f>
        <v>177 / 1280</v>
      </c>
      <c r="I42" s="209">
        <f>SUM($E$6:$E42)/(1+B42-B$6)</f>
        <v>4.7837837837837842</v>
      </c>
      <c r="J42" s="24"/>
      <c r="K42" s="24"/>
      <c r="L42" s="24"/>
    </row>
    <row r="43" spans="2:12" ht="13" thickBot="1">
      <c r="B43" s="123">
        <f t="shared" si="2"/>
        <v>42042</v>
      </c>
      <c r="C43" s="124">
        <f t="shared" si="0"/>
        <v>6</v>
      </c>
      <c r="D43" s="124">
        <f t="shared" si="1"/>
        <v>2</v>
      </c>
      <c r="E43" s="198">
        <f>SUMIF('SORTIES 2015'!B8:B71,B43,'SORTIES 2015'!E8:E71)</f>
        <v>18</v>
      </c>
      <c r="F43" s="28" t="str">
        <f>CONCATENATE(SUMIF($C$6:$C43,C43,$E$6:$E$370)," / ",SUMIF($C$6:$C$370,C43,$E$6:$E$370))</f>
        <v>56 / 56</v>
      </c>
      <c r="G43" s="28" t="str">
        <f>CONCATENATE(SUMIF($D$6:$D43,D43,$E$6:$E$370)," / ",SUMIF($D$6:$D$370,D43,$E$6:$E$370))</f>
        <v>56 / 232</v>
      </c>
      <c r="H43" s="28" t="str">
        <f>CONCATENATE(SUM($E$6:$E43)," / ",SUM($E$6:$E$370))</f>
        <v>195 / 1280</v>
      </c>
      <c r="I43" s="209">
        <f>SUM($E$6:$E43)/(1+B43-B$6)</f>
        <v>5.1315789473684212</v>
      </c>
      <c r="J43" s="24"/>
      <c r="K43" s="24"/>
      <c r="L43" s="24"/>
    </row>
    <row r="44" spans="2:12" ht="13" thickBot="1">
      <c r="B44" s="123">
        <f t="shared" si="2"/>
        <v>42043</v>
      </c>
      <c r="C44" s="124">
        <f t="shared" si="0"/>
        <v>7</v>
      </c>
      <c r="D44" s="124">
        <f t="shared" si="1"/>
        <v>2</v>
      </c>
      <c r="E44" s="198">
        <f>SUMIF('SORTIES 2015'!B9:B72,B44,'SORTIES 2015'!E9:E72)</f>
        <v>8</v>
      </c>
      <c r="F44" s="28" t="str">
        <f>CONCATENATE(SUMIF($C$6:$C44,C44,$E$6:$E$370)," / ",SUMIF($C$6:$C$370,C44,$E$6:$E$370))</f>
        <v>8 / 60</v>
      </c>
      <c r="G44" s="28" t="str">
        <f>CONCATENATE(SUMIF($D$6:$D44,D44,$E$6:$E$370)," / ",SUMIF($D$6:$D$370,D44,$E$6:$E$370))</f>
        <v>64 / 232</v>
      </c>
      <c r="H44" s="28" t="str">
        <f>CONCATENATE(SUM($E$6:$E44)," / ",SUM($E$6:$E$370))</f>
        <v>203 / 1280</v>
      </c>
      <c r="I44" s="209">
        <f>SUM($E$6:$E44)/(1+B44-B$6)</f>
        <v>5.2051282051282053</v>
      </c>
      <c r="J44" s="24"/>
      <c r="K44" s="24"/>
      <c r="L44" s="24"/>
    </row>
    <row r="45" spans="2:12" ht="13" thickBot="1">
      <c r="B45" s="123">
        <f t="shared" si="2"/>
        <v>42044</v>
      </c>
      <c r="C45" s="124">
        <f t="shared" si="0"/>
        <v>7</v>
      </c>
      <c r="D45" s="124">
        <f t="shared" si="1"/>
        <v>2</v>
      </c>
      <c r="E45" s="198">
        <f>SUMIF('SORTIES 2015'!B10:B73,B45,'SORTIES 2015'!E10:E73)</f>
        <v>14</v>
      </c>
      <c r="F45" s="28" t="str">
        <f>CONCATENATE(SUMIF($C$6:$C45,C45,$E$6:$E$370)," / ",SUMIF($C$6:$C$370,C45,$E$6:$E$370))</f>
        <v>22 / 60</v>
      </c>
      <c r="G45" s="28" t="str">
        <f>CONCATENATE(SUMIF($D$6:$D45,D45,$E$6:$E$370)," / ",SUMIF($D$6:$D$370,D45,$E$6:$E$370))</f>
        <v>78 / 232</v>
      </c>
      <c r="H45" s="28" t="str">
        <f>CONCATENATE(SUM($E$6:$E45)," / ",SUM($E$6:$E$370))</f>
        <v>217 / 1280</v>
      </c>
      <c r="I45" s="209">
        <f>SUM($E$6:$E45)/(1+B45-B$6)</f>
        <v>5.4249999999999998</v>
      </c>
      <c r="J45" s="24"/>
      <c r="K45" s="24"/>
      <c r="L45" s="24"/>
    </row>
    <row r="46" spans="2:12" ht="13" thickBot="1">
      <c r="B46" s="123">
        <f t="shared" si="2"/>
        <v>42045</v>
      </c>
      <c r="C46" s="124">
        <f t="shared" si="0"/>
        <v>7</v>
      </c>
      <c r="D46" s="124">
        <f t="shared" si="1"/>
        <v>2</v>
      </c>
      <c r="E46" s="198">
        <f>SUMIF('SORTIES 2015'!B11:B74,B46,'SORTIES 2015'!E11:E74)</f>
        <v>0</v>
      </c>
      <c r="F46" s="28" t="str">
        <f>CONCATENATE(SUMIF($C$6:$C46,C46,$E$6:$E$370)," / ",SUMIF($C$6:$C$370,C46,$E$6:$E$370))</f>
        <v>22 / 60</v>
      </c>
      <c r="G46" s="28" t="str">
        <f>CONCATENATE(SUMIF($D$6:$D46,D46,$E$6:$E$370)," / ",SUMIF($D$6:$D$370,D46,$E$6:$E$370))</f>
        <v>78 / 232</v>
      </c>
      <c r="H46" s="28" t="str">
        <f>CONCATENATE(SUM($E$6:$E46)," / ",SUM($E$6:$E$370))</f>
        <v>217 / 1280</v>
      </c>
      <c r="I46" s="209">
        <f>SUM($E$6:$E46)/(1+B46-B$6)</f>
        <v>5.2926829268292686</v>
      </c>
      <c r="J46" s="24"/>
      <c r="K46" s="24"/>
      <c r="L46" s="24"/>
    </row>
    <row r="47" spans="2:12" ht="13" thickBot="1">
      <c r="B47" s="123">
        <f t="shared" si="2"/>
        <v>42046</v>
      </c>
      <c r="C47" s="124">
        <f t="shared" si="0"/>
        <v>7</v>
      </c>
      <c r="D47" s="124">
        <f t="shared" si="1"/>
        <v>2</v>
      </c>
      <c r="E47" s="198">
        <f>SUMIF('SORTIES 2015'!B12:B75,B47,'SORTIES 2015'!E12:E75)</f>
        <v>20</v>
      </c>
      <c r="F47" s="28" t="str">
        <f>CONCATENATE(SUMIF($C$6:$C47,C47,$E$6:$E$370)," / ",SUMIF($C$6:$C$370,C47,$E$6:$E$370))</f>
        <v>42 / 60</v>
      </c>
      <c r="G47" s="28" t="str">
        <f>CONCATENATE(SUMIF($D$6:$D47,D47,$E$6:$E$370)," / ",SUMIF($D$6:$D$370,D47,$E$6:$E$370))</f>
        <v>98 / 232</v>
      </c>
      <c r="H47" s="28" t="str">
        <f>CONCATENATE(SUM($E$6:$E47)," / ",SUM($E$6:$E$370))</f>
        <v>237 / 1280</v>
      </c>
      <c r="I47" s="209">
        <f>SUM($E$6:$E47)/(1+B47-B$6)</f>
        <v>5.6428571428571432</v>
      </c>
      <c r="J47" s="24"/>
      <c r="K47" s="24"/>
      <c r="L47" s="24"/>
    </row>
    <row r="48" spans="2:12" ht="13" thickBot="1">
      <c r="B48" s="123">
        <f t="shared" si="2"/>
        <v>42047</v>
      </c>
      <c r="C48" s="124">
        <f t="shared" si="0"/>
        <v>7</v>
      </c>
      <c r="D48" s="124">
        <f t="shared" si="1"/>
        <v>2</v>
      </c>
      <c r="E48" s="198">
        <f>SUMIF('SORTIES 2015'!B13:B76,B48,'SORTIES 2015'!E13:E76)</f>
        <v>0</v>
      </c>
      <c r="F48" s="28" t="str">
        <f>CONCATENATE(SUMIF($C$6:$C48,C48,$E$6:$E$370)," / ",SUMIF($C$6:$C$370,C48,$E$6:$E$370))</f>
        <v>42 / 60</v>
      </c>
      <c r="G48" s="28" t="str">
        <f>CONCATENATE(SUMIF($D$6:$D48,D48,$E$6:$E$370)," / ",SUMIF($D$6:$D$370,D48,$E$6:$E$370))</f>
        <v>98 / 232</v>
      </c>
      <c r="H48" s="28" t="str">
        <f>CONCATENATE(SUM($E$6:$E48)," / ",SUM($E$6:$E$370))</f>
        <v>237 / 1280</v>
      </c>
      <c r="I48" s="209">
        <f>SUM($E$6:$E48)/(1+B48-B$6)</f>
        <v>5.5116279069767442</v>
      </c>
      <c r="J48" s="24"/>
      <c r="K48" s="24"/>
      <c r="L48" s="24"/>
    </row>
    <row r="49" spans="2:12" ht="13" thickBot="1">
      <c r="B49" s="123">
        <f t="shared" si="2"/>
        <v>42048</v>
      </c>
      <c r="C49" s="124">
        <f t="shared" si="0"/>
        <v>7</v>
      </c>
      <c r="D49" s="124">
        <f t="shared" si="1"/>
        <v>2</v>
      </c>
      <c r="E49" s="198">
        <f>SUMIF('SORTIES 2015'!B14:B77,B49,'SORTIES 2015'!E14:E77)</f>
        <v>0</v>
      </c>
      <c r="F49" s="28" t="str">
        <f>CONCATENATE(SUMIF($C$6:$C49,C49,$E$6:$E$370)," / ",SUMIF($C$6:$C$370,C49,$E$6:$E$370))</f>
        <v>42 / 60</v>
      </c>
      <c r="G49" s="28" t="str">
        <f>CONCATENATE(SUMIF($D$6:$D49,D49,$E$6:$E$370)," / ",SUMIF($D$6:$D$370,D49,$E$6:$E$370))</f>
        <v>98 / 232</v>
      </c>
      <c r="H49" s="28" t="str">
        <f>CONCATENATE(SUM($E$6:$E49)," / ",SUM($E$6:$E$370))</f>
        <v>237 / 1280</v>
      </c>
      <c r="I49" s="209">
        <f>SUM($E$6:$E49)/(1+B49-B$6)</f>
        <v>5.3863636363636367</v>
      </c>
      <c r="J49" s="24"/>
      <c r="K49" s="24"/>
      <c r="L49" s="24"/>
    </row>
    <row r="50" spans="2:12" ht="13" thickBot="1">
      <c r="B50" s="123">
        <f t="shared" si="2"/>
        <v>42049</v>
      </c>
      <c r="C50" s="124">
        <f t="shared" si="0"/>
        <v>7</v>
      </c>
      <c r="D50" s="124">
        <f t="shared" si="1"/>
        <v>2</v>
      </c>
      <c r="E50" s="198">
        <f>SUMIF('SORTIES 2015'!B15:B78,B50,'SORTIES 2015'!E15:E78)</f>
        <v>18</v>
      </c>
      <c r="F50" s="28" t="str">
        <f>CONCATENATE(SUMIF($C$6:$C50,C50,$E$6:$E$370)," / ",SUMIF($C$6:$C$370,C50,$E$6:$E$370))</f>
        <v>60 / 60</v>
      </c>
      <c r="G50" s="28" t="str">
        <f>CONCATENATE(SUMIF($D$6:$D50,D50,$E$6:$E$370)," / ",SUMIF($D$6:$D$370,D50,$E$6:$E$370))</f>
        <v>116 / 232</v>
      </c>
      <c r="H50" s="28" t="str">
        <f>CONCATENATE(SUM($E$6:$E50)," / ",SUM($E$6:$E$370))</f>
        <v>255 / 1280</v>
      </c>
      <c r="I50" s="209">
        <f>SUM($E$6:$E50)/(1+B50-B$6)</f>
        <v>5.666666666666667</v>
      </c>
      <c r="J50" s="24"/>
      <c r="K50" s="24"/>
      <c r="L50" s="24"/>
    </row>
    <row r="51" spans="2:12" ht="13" thickBot="1">
      <c r="B51" s="123">
        <f t="shared" si="2"/>
        <v>42050</v>
      </c>
      <c r="C51" s="124">
        <f t="shared" si="0"/>
        <v>8</v>
      </c>
      <c r="D51" s="124">
        <f t="shared" si="1"/>
        <v>2</v>
      </c>
      <c r="E51" s="198">
        <f>SUMIF('SORTIES 2015'!B16:B79,B51,'SORTIES 2015'!E16:E79)</f>
        <v>0</v>
      </c>
      <c r="F51" s="28" t="str">
        <f>CONCATENATE(SUMIF($C$6:$C51,C51,$E$6:$E$370)," / ",SUMIF($C$6:$C$370,C51,$E$6:$E$370))</f>
        <v>0 / 81</v>
      </c>
      <c r="G51" s="28" t="str">
        <f>CONCATENATE(SUMIF($D$6:$D51,D51,$E$6:$E$370)," / ",SUMIF($D$6:$D$370,D51,$E$6:$E$370))</f>
        <v>116 / 232</v>
      </c>
      <c r="H51" s="28" t="str">
        <f>CONCATENATE(SUM($E$6:$E51)," / ",SUM($E$6:$E$370))</f>
        <v>255 / 1280</v>
      </c>
      <c r="I51" s="209">
        <f>SUM($E$6:$E51)/(1+B51-B$6)</f>
        <v>5.5434782608695654</v>
      </c>
      <c r="J51" s="24"/>
      <c r="K51" s="24"/>
      <c r="L51" s="24"/>
    </row>
    <row r="52" spans="2:12" ht="13" thickBot="1">
      <c r="B52" s="123">
        <f t="shared" si="2"/>
        <v>42051</v>
      </c>
      <c r="C52" s="124">
        <f t="shared" si="0"/>
        <v>8</v>
      </c>
      <c r="D52" s="124">
        <f t="shared" si="1"/>
        <v>2</v>
      </c>
      <c r="E52" s="198">
        <f>SUMIF('SORTIES 2015'!B17:B80,B52,'SORTIES 2015'!E17:E80)</f>
        <v>6</v>
      </c>
      <c r="F52" s="28" t="str">
        <f>CONCATENATE(SUMIF($C$6:$C52,C52,$E$6:$E$370)," / ",SUMIF($C$6:$C$370,C52,$E$6:$E$370))</f>
        <v>6 / 81</v>
      </c>
      <c r="G52" s="28" t="str">
        <f>CONCATENATE(SUMIF($D$6:$D52,D52,$E$6:$E$370)," / ",SUMIF($D$6:$D$370,D52,$E$6:$E$370))</f>
        <v>122 / 232</v>
      </c>
      <c r="H52" s="28" t="str">
        <f>CONCATENATE(SUM($E$6:$E52)," / ",SUM($E$6:$E$370))</f>
        <v>261 / 1280</v>
      </c>
      <c r="I52" s="209">
        <f>SUM($E$6:$E52)/(1+B52-B$6)</f>
        <v>5.5531914893617023</v>
      </c>
      <c r="J52" s="24"/>
      <c r="K52" s="24"/>
      <c r="L52" s="24"/>
    </row>
    <row r="53" spans="2:12" ht="13" thickBot="1">
      <c r="B53" s="123">
        <f t="shared" si="2"/>
        <v>42052</v>
      </c>
      <c r="C53" s="124">
        <f t="shared" si="0"/>
        <v>8</v>
      </c>
      <c r="D53" s="124">
        <f t="shared" si="1"/>
        <v>2</v>
      </c>
      <c r="E53" s="198">
        <f>SUMIF('SORTIES 2015'!B18:B81,B53,'SORTIES 2015'!E18:E81)</f>
        <v>15</v>
      </c>
      <c r="F53" s="28" t="str">
        <f>CONCATENATE(SUMIF($C$6:$C53,C53,$E$6:$E$370)," / ",SUMIF($C$6:$C$370,C53,$E$6:$E$370))</f>
        <v>21 / 81</v>
      </c>
      <c r="G53" s="28" t="str">
        <f>CONCATENATE(SUMIF($D$6:$D53,D53,$E$6:$E$370)," / ",SUMIF($D$6:$D$370,D53,$E$6:$E$370))</f>
        <v>137 / 232</v>
      </c>
      <c r="H53" s="28" t="str">
        <f>CONCATENATE(SUM($E$6:$E53)," / ",SUM($E$6:$E$370))</f>
        <v>276 / 1280</v>
      </c>
      <c r="I53" s="209">
        <f>SUM($E$6:$E53)/(1+B53-B$6)</f>
        <v>5.75</v>
      </c>
      <c r="J53" s="24"/>
      <c r="K53" s="24"/>
      <c r="L53" s="24"/>
    </row>
    <row r="54" spans="2:12" ht="13" thickBot="1">
      <c r="B54" s="123">
        <f t="shared" si="2"/>
        <v>42053</v>
      </c>
      <c r="C54" s="124">
        <f t="shared" si="0"/>
        <v>8</v>
      </c>
      <c r="D54" s="124">
        <f t="shared" si="1"/>
        <v>2</v>
      </c>
      <c r="E54" s="198">
        <f>SUMIF('SORTIES 2015'!B19:B82,B54,'SORTIES 2015'!E19:E82)</f>
        <v>14</v>
      </c>
      <c r="F54" s="28" t="str">
        <f>CONCATENATE(SUMIF($C$6:$C54,C54,$E$6:$E$370)," / ",SUMIF($C$6:$C$370,C54,$E$6:$E$370))</f>
        <v>35 / 81</v>
      </c>
      <c r="G54" s="28" t="str">
        <f>CONCATENATE(SUMIF($D$6:$D54,D54,$E$6:$E$370)," / ",SUMIF($D$6:$D$370,D54,$E$6:$E$370))</f>
        <v>151 / 232</v>
      </c>
      <c r="H54" s="28" t="str">
        <f>CONCATENATE(SUM($E$6:$E54)," / ",SUM($E$6:$E$370))</f>
        <v>290 / 1280</v>
      </c>
      <c r="I54" s="209">
        <f>SUM($E$6:$E54)/(1+B54-B$6)</f>
        <v>5.9183673469387754</v>
      </c>
      <c r="J54" s="24"/>
      <c r="K54" s="24"/>
      <c r="L54" s="24"/>
    </row>
    <row r="55" spans="2:12" ht="13" thickBot="1">
      <c r="B55" s="123">
        <f t="shared" si="2"/>
        <v>42054</v>
      </c>
      <c r="C55" s="124">
        <f t="shared" si="0"/>
        <v>8</v>
      </c>
      <c r="D55" s="124">
        <f t="shared" si="1"/>
        <v>2</v>
      </c>
      <c r="E55" s="198">
        <f>SUMIF('SORTIES 2015'!B20:B83,B55,'SORTIES 2015'!E20:E83)</f>
        <v>16</v>
      </c>
      <c r="F55" s="28" t="str">
        <f>CONCATENATE(SUMIF($C$6:$C55,C55,$E$6:$E$370)," / ",SUMIF($C$6:$C$370,C55,$E$6:$E$370))</f>
        <v>51 / 81</v>
      </c>
      <c r="G55" s="28" t="str">
        <f>CONCATENATE(SUMIF($D$6:$D55,D55,$E$6:$E$370)," / ",SUMIF($D$6:$D$370,D55,$E$6:$E$370))</f>
        <v>167 / 232</v>
      </c>
      <c r="H55" s="28" t="str">
        <f>CONCATENATE(SUM($E$6:$E55)," / ",SUM($E$6:$E$370))</f>
        <v>306 / 1280</v>
      </c>
      <c r="I55" s="209">
        <f>SUM($E$6:$E55)/(1+B55-B$6)</f>
        <v>6.12</v>
      </c>
      <c r="J55" s="24"/>
      <c r="K55" s="24"/>
      <c r="L55" s="24"/>
    </row>
    <row r="56" spans="2:12" ht="13" thickBot="1">
      <c r="B56" s="123">
        <f t="shared" si="2"/>
        <v>42055</v>
      </c>
      <c r="C56" s="124">
        <f t="shared" si="0"/>
        <v>8</v>
      </c>
      <c r="D56" s="124">
        <f t="shared" si="1"/>
        <v>2</v>
      </c>
      <c r="E56" s="198">
        <f>SUMIF('SORTIES 2015'!B21:B84,B56,'SORTIES 2015'!E21:E84)</f>
        <v>12</v>
      </c>
      <c r="F56" s="28" t="str">
        <f>CONCATENATE(SUMIF($C$6:$C56,C56,$E$6:$E$370)," / ",SUMIF($C$6:$C$370,C56,$E$6:$E$370))</f>
        <v>63 / 81</v>
      </c>
      <c r="G56" s="28" t="str">
        <f>CONCATENATE(SUMIF($D$6:$D56,D56,$E$6:$E$370)," / ",SUMIF($D$6:$D$370,D56,$E$6:$E$370))</f>
        <v>179 / 232</v>
      </c>
      <c r="H56" s="28" t="str">
        <f>CONCATENATE(SUM($E$6:$E56)," / ",SUM($E$6:$E$370))</f>
        <v>318 / 1280</v>
      </c>
      <c r="I56" s="209">
        <f>SUM($E$6:$E56)/(1+B56-B$6)</f>
        <v>6.2352941176470589</v>
      </c>
      <c r="J56" s="24"/>
      <c r="K56" s="24"/>
      <c r="L56" s="24"/>
    </row>
    <row r="57" spans="2:12" ht="13" thickBot="1">
      <c r="B57" s="123">
        <f t="shared" si="2"/>
        <v>42056</v>
      </c>
      <c r="C57" s="124">
        <f t="shared" si="0"/>
        <v>8</v>
      </c>
      <c r="D57" s="124">
        <f t="shared" si="1"/>
        <v>2</v>
      </c>
      <c r="E57" s="198">
        <f>SUMIF('SORTIES 2015'!B22:B85,B57,'SORTIES 2015'!E22:E85)</f>
        <v>18</v>
      </c>
      <c r="F57" s="28" t="str">
        <f>CONCATENATE(SUMIF($C$6:$C57,C57,$E$6:$E$370)," / ",SUMIF($C$6:$C$370,C57,$E$6:$E$370))</f>
        <v>81 / 81</v>
      </c>
      <c r="G57" s="28" t="str">
        <f>CONCATENATE(SUMIF($D$6:$D57,D57,$E$6:$E$370)," / ",SUMIF($D$6:$D$370,D57,$E$6:$E$370))</f>
        <v>197 / 232</v>
      </c>
      <c r="H57" s="28" t="str">
        <f>CONCATENATE(SUM($E$6:$E57)," / ",SUM($E$6:$E$370))</f>
        <v>336 / 1280</v>
      </c>
      <c r="I57" s="209">
        <f>SUM($E$6:$E57)/(1+B57-B$6)</f>
        <v>6.4615384615384617</v>
      </c>
      <c r="J57" s="24"/>
      <c r="K57" s="24"/>
      <c r="L57" s="24"/>
    </row>
    <row r="58" spans="2:12" ht="13" thickBot="1">
      <c r="B58" s="123">
        <f t="shared" si="2"/>
        <v>42057</v>
      </c>
      <c r="C58" s="124">
        <f t="shared" si="0"/>
        <v>9</v>
      </c>
      <c r="D58" s="124">
        <f t="shared" si="1"/>
        <v>2</v>
      </c>
      <c r="E58" s="198">
        <f>SUMIF('SORTIES 2015'!B23:B86,B58,'SORTIES 2015'!E23:E86)</f>
        <v>0</v>
      </c>
      <c r="F58" s="28" t="str">
        <f>CONCATENATE(SUMIF($C$6:$C58,C58,$E$6:$E$370)," / ",SUMIF($C$6:$C$370,C58,$E$6:$E$370))</f>
        <v>0 / 35</v>
      </c>
      <c r="G58" s="28" t="str">
        <f>CONCATENATE(SUMIF($D$6:$D58,D58,$E$6:$E$370)," / ",SUMIF($D$6:$D$370,D58,$E$6:$E$370))</f>
        <v>197 / 232</v>
      </c>
      <c r="H58" s="28" t="str">
        <f>CONCATENATE(SUM($E$6:$E58)," / ",SUM($E$6:$E$370))</f>
        <v>336 / 1280</v>
      </c>
      <c r="I58" s="209">
        <f>SUM($E$6:$E58)/(1+B58-B$6)</f>
        <v>6.3396226415094343</v>
      </c>
      <c r="J58" s="24"/>
      <c r="K58" s="24"/>
      <c r="L58" s="24"/>
    </row>
    <row r="59" spans="2:12" ht="13" thickBot="1">
      <c r="B59" s="123">
        <f t="shared" si="2"/>
        <v>42058</v>
      </c>
      <c r="C59" s="124">
        <f t="shared" si="0"/>
        <v>9</v>
      </c>
      <c r="D59" s="124">
        <f t="shared" si="1"/>
        <v>2</v>
      </c>
      <c r="E59" s="198">
        <f>SUMIF('SORTIES 2015'!B24:B87,B59,'SORTIES 2015'!E24:E87)</f>
        <v>11</v>
      </c>
      <c r="F59" s="28" t="str">
        <f>CONCATENATE(SUMIF($C$6:$C59,C59,$E$6:$E$370)," / ",SUMIF($C$6:$C$370,C59,$E$6:$E$370))</f>
        <v>11 / 35</v>
      </c>
      <c r="G59" s="28" t="str">
        <f>CONCATENATE(SUMIF($D$6:$D59,D59,$E$6:$E$370)," / ",SUMIF($D$6:$D$370,D59,$E$6:$E$370))</f>
        <v>208 / 232</v>
      </c>
      <c r="H59" s="28" t="str">
        <f>CONCATENATE(SUM($E$6:$E59)," / ",SUM($E$6:$E$370))</f>
        <v>347 / 1280</v>
      </c>
      <c r="I59" s="209">
        <f>SUM($E$6:$E59)/(1+B59-B$6)</f>
        <v>6.4259259259259256</v>
      </c>
      <c r="J59" s="24"/>
      <c r="K59" s="24"/>
      <c r="L59" s="24"/>
    </row>
    <row r="60" spans="2:12" ht="13" thickBot="1">
      <c r="B60" s="123">
        <f t="shared" si="2"/>
        <v>42059</v>
      </c>
      <c r="C60" s="124">
        <f t="shared" si="0"/>
        <v>9</v>
      </c>
      <c r="D60" s="124">
        <f t="shared" si="1"/>
        <v>2</v>
      </c>
      <c r="E60" s="198">
        <f>SUMIF('SORTIES 2015'!B25:B88,B60,'SORTIES 2015'!E25:E88)</f>
        <v>0</v>
      </c>
      <c r="F60" s="28" t="str">
        <f>CONCATENATE(SUMIF($C$6:$C60,C60,$E$6:$E$370)," / ",SUMIF($C$6:$C$370,C60,$E$6:$E$370))</f>
        <v>11 / 35</v>
      </c>
      <c r="G60" s="28" t="str">
        <f>CONCATENATE(SUMIF($D$6:$D60,D60,$E$6:$E$370)," / ",SUMIF($D$6:$D$370,D60,$E$6:$E$370))</f>
        <v>208 / 232</v>
      </c>
      <c r="H60" s="28" t="str">
        <f>CONCATENATE(SUM($E$6:$E60)," / ",SUM($E$6:$E$370))</f>
        <v>347 / 1280</v>
      </c>
      <c r="I60" s="209">
        <f>SUM($E$6:$E60)/(1+B60-B$6)</f>
        <v>6.3090909090909095</v>
      </c>
      <c r="J60" s="24"/>
      <c r="K60" s="24"/>
      <c r="L60" s="24"/>
    </row>
    <row r="61" spans="2:12" ht="13" thickBot="1">
      <c r="B61" s="123">
        <f t="shared" si="2"/>
        <v>42060</v>
      </c>
      <c r="C61" s="124">
        <f t="shared" si="0"/>
        <v>9</v>
      </c>
      <c r="D61" s="124">
        <f t="shared" si="1"/>
        <v>2</v>
      </c>
      <c r="E61" s="198">
        <f>SUMIF('SORTIES 2015'!B26:B89,B61,'SORTIES 2015'!E26:E89)</f>
        <v>0</v>
      </c>
      <c r="F61" s="28" t="str">
        <f>CONCATENATE(SUMIF($C$6:$C61,C61,$E$6:$E$370)," / ",SUMIF($C$6:$C$370,C61,$E$6:$E$370))</f>
        <v>11 / 35</v>
      </c>
      <c r="G61" s="28" t="str">
        <f>CONCATENATE(SUMIF($D$6:$D61,D61,$E$6:$E$370)," / ",SUMIF($D$6:$D$370,D61,$E$6:$E$370))</f>
        <v>208 / 232</v>
      </c>
      <c r="H61" s="28" t="str">
        <f>CONCATENATE(SUM($E$6:$E61)," / ",SUM($E$6:$E$370))</f>
        <v>347 / 1280</v>
      </c>
      <c r="I61" s="209">
        <f>SUM($E$6:$E61)/(1+B61-B$6)</f>
        <v>6.1964285714285712</v>
      </c>
      <c r="J61" s="24"/>
      <c r="K61" s="24"/>
      <c r="L61" s="24"/>
    </row>
    <row r="62" spans="2:12" ht="13" thickBot="1">
      <c r="B62" s="123">
        <f t="shared" si="2"/>
        <v>42061</v>
      </c>
      <c r="C62" s="124">
        <f t="shared" si="0"/>
        <v>9</v>
      </c>
      <c r="D62" s="124">
        <f t="shared" si="1"/>
        <v>2</v>
      </c>
      <c r="E62" s="198">
        <f>SUMIF('SORTIES 2015'!B27:B90,B62,'SORTIES 2015'!E27:E90)</f>
        <v>13</v>
      </c>
      <c r="F62" s="28" t="str">
        <f>CONCATENATE(SUMIF($C$6:$C62,C62,$E$6:$E$370)," / ",SUMIF($C$6:$C$370,C62,$E$6:$E$370))</f>
        <v>24 / 35</v>
      </c>
      <c r="G62" s="28" t="str">
        <f>CONCATENATE(SUMIF($D$6:$D62,D62,$E$6:$E$370)," / ",SUMIF($D$6:$D$370,D62,$E$6:$E$370))</f>
        <v>221 / 232</v>
      </c>
      <c r="H62" s="28" t="str">
        <f>CONCATENATE(SUM($E$6:$E62)," / ",SUM($E$6:$E$370))</f>
        <v>360 / 1280</v>
      </c>
      <c r="I62" s="209">
        <f>SUM($E$6:$E62)/(1+B62-B$6)</f>
        <v>6.3157894736842106</v>
      </c>
      <c r="J62" s="24"/>
      <c r="K62" s="24"/>
      <c r="L62" s="24"/>
    </row>
    <row r="63" spans="2:12" ht="13" thickBot="1">
      <c r="B63" s="123">
        <f t="shared" si="2"/>
        <v>42062</v>
      </c>
      <c r="C63" s="124">
        <f t="shared" si="0"/>
        <v>9</v>
      </c>
      <c r="D63" s="124">
        <f t="shared" si="1"/>
        <v>2</v>
      </c>
      <c r="E63" s="198">
        <f>SUMIF('SORTIES 2015'!B28:B91,B63,'SORTIES 2015'!E28:E91)</f>
        <v>11</v>
      </c>
      <c r="F63" s="28" t="str">
        <f>CONCATENATE(SUMIF($C$6:$C63,C63,$E$6:$E$370)," / ",SUMIF($C$6:$C$370,C63,$E$6:$E$370))</f>
        <v>35 / 35</v>
      </c>
      <c r="G63" s="28" t="str">
        <f>CONCATENATE(SUMIF($D$6:$D63,D63,$E$6:$E$370)," / ",SUMIF($D$6:$D$370,D63,$E$6:$E$370))</f>
        <v>232 / 232</v>
      </c>
      <c r="H63" s="28" t="str">
        <f>CONCATENATE(SUM($E$6:$E63)," / ",SUM($E$6:$E$370))</f>
        <v>371 / 1280</v>
      </c>
      <c r="I63" s="209">
        <f>SUM($E$6:$E63)/(1+B63-B$6)</f>
        <v>6.3965517241379306</v>
      </c>
      <c r="J63" s="24"/>
      <c r="K63" s="24"/>
      <c r="L63" s="24"/>
    </row>
    <row r="64" spans="2:12" ht="13" thickBot="1">
      <c r="B64" s="123">
        <f t="shared" si="2"/>
        <v>42063</v>
      </c>
      <c r="C64" s="124">
        <f t="shared" si="0"/>
        <v>9</v>
      </c>
      <c r="D64" s="124">
        <f t="shared" si="1"/>
        <v>2</v>
      </c>
      <c r="E64" s="198">
        <f>SUMIF('SORTIES 2015'!B29:B92,B64,'SORTIES 2015'!E29:E92)</f>
        <v>0</v>
      </c>
      <c r="F64" s="28" t="str">
        <f>CONCATENATE(SUMIF($C$6:$C64,C64,$E$6:$E$370)," / ",SUMIF($C$6:$C$370,C64,$E$6:$E$370))</f>
        <v>35 / 35</v>
      </c>
      <c r="G64" s="28" t="str">
        <f>CONCATENATE(SUMIF($D$6:$D64,D64,$E$6:$E$370)," / ",SUMIF($D$6:$D$370,D64,$E$6:$E$370))</f>
        <v>232 / 232</v>
      </c>
      <c r="H64" s="28" t="str">
        <f>CONCATENATE(SUM($E$6:$E64)," / ",SUM($E$6:$E$370))</f>
        <v>371 / 1280</v>
      </c>
      <c r="I64" s="209">
        <f>SUM($E$6:$E64)/(1+B64-B$6)</f>
        <v>6.2881355932203391</v>
      </c>
      <c r="J64" s="24"/>
      <c r="K64" s="24"/>
      <c r="L64" s="24"/>
    </row>
    <row r="65" spans="2:12" ht="13" thickBot="1">
      <c r="B65" s="123">
        <f t="shared" si="2"/>
        <v>42064</v>
      </c>
      <c r="C65" s="124">
        <f t="shared" si="0"/>
        <v>10</v>
      </c>
      <c r="D65" s="124">
        <f t="shared" si="1"/>
        <v>3</v>
      </c>
      <c r="E65" s="198">
        <f>SUMIF('SORTIES 2015'!B30:B93,B65,'SORTIES 2015'!E30:E93)</f>
        <v>26</v>
      </c>
      <c r="F65" s="28" t="str">
        <f>CONCATENATE(SUMIF($C$6:$C65,C65,$E$6:$E$370)," / ",SUMIF($C$6:$C$370,C65,$E$6:$E$370))</f>
        <v>26 / 87</v>
      </c>
      <c r="G65" s="28" t="str">
        <f>CONCATENATE(SUMIF($D$6:$D65,D65,$E$6:$E$370)," / ",SUMIF($D$6:$D$370,D65,$E$6:$E$370))</f>
        <v>26 / 212</v>
      </c>
      <c r="H65" s="28" t="str">
        <f>CONCATENATE(SUM($E$6:$E65)," / ",SUM($E$6:$E$370))</f>
        <v>397 / 1280</v>
      </c>
      <c r="I65" s="209">
        <f>SUM($E$6:$E65)/(1+B65-B$6)</f>
        <v>6.6166666666666663</v>
      </c>
      <c r="J65" s="24"/>
      <c r="K65" s="24"/>
      <c r="L65" s="24"/>
    </row>
    <row r="66" spans="2:12" ht="13" thickBot="1">
      <c r="B66" s="123">
        <f t="shared" si="2"/>
        <v>42065</v>
      </c>
      <c r="C66" s="124">
        <f t="shared" si="0"/>
        <v>10</v>
      </c>
      <c r="D66" s="124">
        <f t="shared" si="1"/>
        <v>3</v>
      </c>
      <c r="E66" s="198">
        <f>SUMIF('SORTIES 2015'!B31:B94,B66,'SORTIES 2015'!E31:E94)</f>
        <v>15</v>
      </c>
      <c r="F66" s="28" t="str">
        <f>CONCATENATE(SUMIF($C$6:$C66,C66,$E$6:$E$370)," / ",SUMIF($C$6:$C$370,C66,$E$6:$E$370))</f>
        <v>41 / 87</v>
      </c>
      <c r="G66" s="28" t="str">
        <f>CONCATENATE(SUMIF($D$6:$D66,D66,$E$6:$E$370)," / ",SUMIF($D$6:$D$370,D66,$E$6:$E$370))</f>
        <v>41 / 212</v>
      </c>
      <c r="H66" s="28" t="str">
        <f>CONCATENATE(SUM($E$6:$E66)," / ",SUM($E$6:$E$370))</f>
        <v>412 / 1280</v>
      </c>
      <c r="I66" s="209">
        <f>SUM($E$6:$E66)/(1+B66-B$6)</f>
        <v>6.7540983606557381</v>
      </c>
      <c r="J66" s="24"/>
      <c r="K66" s="24"/>
      <c r="L66" s="24"/>
    </row>
    <row r="67" spans="2:12" ht="13" thickBot="1">
      <c r="B67" s="123">
        <f t="shared" si="2"/>
        <v>42066</v>
      </c>
      <c r="C67" s="124">
        <f t="shared" si="0"/>
        <v>10</v>
      </c>
      <c r="D67" s="124">
        <f t="shared" si="1"/>
        <v>3</v>
      </c>
      <c r="E67" s="198">
        <f>SUMIF('SORTIES 2015'!B32:B95,B67,'SORTIES 2015'!E32:E95)</f>
        <v>0</v>
      </c>
      <c r="F67" s="28" t="str">
        <f>CONCATENATE(SUMIF($C$6:$C67,C67,$E$6:$E$370)," / ",SUMIF($C$6:$C$370,C67,$E$6:$E$370))</f>
        <v>41 / 87</v>
      </c>
      <c r="G67" s="28" t="str">
        <f>CONCATENATE(SUMIF($D$6:$D67,D67,$E$6:$E$370)," / ",SUMIF($D$6:$D$370,D67,$E$6:$E$370))</f>
        <v>41 / 212</v>
      </c>
      <c r="H67" s="28" t="str">
        <f>CONCATENATE(SUM($E$6:$E67)," / ",SUM($E$6:$E$370))</f>
        <v>412 / 1280</v>
      </c>
      <c r="I67" s="209">
        <f>SUM($E$6:$E67)/(1+B67-B$6)</f>
        <v>6.645161290322581</v>
      </c>
      <c r="J67" s="24"/>
      <c r="K67" s="24"/>
      <c r="L67" s="24"/>
    </row>
    <row r="68" spans="2:12" ht="13" thickBot="1">
      <c r="B68" s="123">
        <f t="shared" si="2"/>
        <v>42067</v>
      </c>
      <c r="C68" s="124">
        <f t="shared" si="0"/>
        <v>10</v>
      </c>
      <c r="D68" s="124">
        <f t="shared" si="1"/>
        <v>3</v>
      </c>
      <c r="E68" s="198">
        <f>SUMIF('SORTIES 2015'!B33:B96,B68,'SORTIES 2015'!E33:E96)</f>
        <v>14</v>
      </c>
      <c r="F68" s="28" t="str">
        <f>CONCATENATE(SUMIF($C$6:$C68,C68,$E$6:$E$370)," / ",SUMIF($C$6:$C$370,C68,$E$6:$E$370))</f>
        <v>55 / 87</v>
      </c>
      <c r="G68" s="28" t="str">
        <f>CONCATENATE(SUMIF($D$6:$D68,D68,$E$6:$E$370)," / ",SUMIF($D$6:$D$370,D68,$E$6:$E$370))</f>
        <v>55 / 212</v>
      </c>
      <c r="H68" s="28" t="str">
        <f>CONCATENATE(SUM($E$6:$E68)," / ",SUM($E$6:$E$370))</f>
        <v>426 / 1280</v>
      </c>
      <c r="I68" s="209">
        <f>SUM($E$6:$E68)/(1+B68-B$6)</f>
        <v>6.7619047619047619</v>
      </c>
      <c r="J68" s="24"/>
      <c r="K68" s="24"/>
      <c r="L68" s="24"/>
    </row>
    <row r="69" spans="2:12" ht="13" thickBot="1">
      <c r="B69" s="123">
        <f t="shared" si="2"/>
        <v>42068</v>
      </c>
      <c r="C69" s="124">
        <f t="shared" si="0"/>
        <v>10</v>
      </c>
      <c r="D69" s="124">
        <f t="shared" si="1"/>
        <v>3</v>
      </c>
      <c r="E69" s="198">
        <f>SUMIF('SORTIES 2015'!B34:B97,B69,'SORTIES 2015'!E34:E97)</f>
        <v>10</v>
      </c>
      <c r="F69" s="28" t="str">
        <f>CONCATENATE(SUMIF($C$6:$C69,C69,$E$6:$E$370)," / ",SUMIF($C$6:$C$370,C69,$E$6:$E$370))</f>
        <v>65 / 87</v>
      </c>
      <c r="G69" s="28" t="str">
        <f>CONCATENATE(SUMIF($D$6:$D69,D69,$E$6:$E$370)," / ",SUMIF($D$6:$D$370,D69,$E$6:$E$370))</f>
        <v>65 / 212</v>
      </c>
      <c r="H69" s="28" t="str">
        <f>CONCATENATE(SUM($E$6:$E69)," / ",SUM($E$6:$E$370))</f>
        <v>436 / 1280</v>
      </c>
      <c r="I69" s="209">
        <f>SUM($E$6:$E69)/(1+B69-B$6)</f>
        <v>6.8125</v>
      </c>
      <c r="J69" s="24"/>
      <c r="K69" s="24"/>
      <c r="L69" s="24"/>
    </row>
    <row r="70" spans="2:12" ht="13" thickBot="1">
      <c r="B70" s="123">
        <f t="shared" si="2"/>
        <v>42069</v>
      </c>
      <c r="C70" s="124">
        <f t="shared" si="0"/>
        <v>10</v>
      </c>
      <c r="D70" s="124">
        <f t="shared" si="1"/>
        <v>3</v>
      </c>
      <c r="E70" s="198">
        <f>SUMIF('SORTIES 2015'!B35:B98,B70,'SORTIES 2015'!E35:E98)</f>
        <v>0</v>
      </c>
      <c r="F70" s="28" t="str">
        <f>CONCATENATE(SUMIF($C$6:$C70,C70,$E$6:$E$370)," / ",SUMIF($C$6:$C$370,C70,$E$6:$E$370))</f>
        <v>65 / 87</v>
      </c>
      <c r="G70" s="28" t="str">
        <f>CONCATENATE(SUMIF($D$6:$D70,D70,$E$6:$E$370)," / ",SUMIF($D$6:$D$370,D70,$E$6:$E$370))</f>
        <v>65 / 212</v>
      </c>
      <c r="H70" s="28" t="str">
        <f>CONCATENATE(SUM($E$6:$E70)," / ",SUM($E$6:$E$370))</f>
        <v>436 / 1280</v>
      </c>
      <c r="I70" s="209">
        <f>SUM($E$6:$E70)/(1+B70-B$6)</f>
        <v>6.7076923076923078</v>
      </c>
      <c r="J70" s="24"/>
      <c r="K70" s="24"/>
      <c r="L70" s="24"/>
    </row>
    <row r="71" spans="2:12" ht="13" thickBot="1">
      <c r="B71" s="123">
        <f t="shared" si="2"/>
        <v>42070</v>
      </c>
      <c r="C71" s="124">
        <f t="shared" ref="C71:C134" si="3">WEEKNUM($B71)</f>
        <v>10</v>
      </c>
      <c r="D71" s="124">
        <f t="shared" ref="D71:D134" si="4">MONTH(B71)</f>
        <v>3</v>
      </c>
      <c r="E71" s="198">
        <f>SUMIF('SORTIES 2015'!B36:B99,B71,'SORTIES 2015'!E36:E99)</f>
        <v>22</v>
      </c>
      <c r="F71" s="28" t="str">
        <f>CONCATENATE(SUMIF($C$6:$C71,C71,$E$6:$E$370)," / ",SUMIF($C$6:$C$370,C71,$E$6:$E$370))</f>
        <v>87 / 87</v>
      </c>
      <c r="G71" s="28" t="str">
        <f>CONCATENATE(SUMIF($D$6:$D71,D71,$E$6:$E$370)," / ",SUMIF($D$6:$D$370,D71,$E$6:$E$370))</f>
        <v>87 / 212</v>
      </c>
      <c r="H71" s="28" t="str">
        <f>CONCATENATE(SUM($E$6:$E71)," / ",SUM($E$6:$E$370))</f>
        <v>458 / 1280</v>
      </c>
      <c r="I71" s="209">
        <f>SUM($E$6:$E71)/(1+B71-B$6)</f>
        <v>6.9393939393939394</v>
      </c>
      <c r="J71" s="24"/>
      <c r="K71" s="24"/>
      <c r="L71" s="24"/>
    </row>
    <row r="72" spans="2:12" ht="13" thickBot="1">
      <c r="B72" s="123">
        <f t="shared" ref="B72:B135" si="5">B71+1</f>
        <v>42071</v>
      </c>
      <c r="C72" s="124">
        <f t="shared" si="3"/>
        <v>11</v>
      </c>
      <c r="D72" s="124">
        <f t="shared" si="4"/>
        <v>3</v>
      </c>
      <c r="E72" s="198">
        <f>SUMIF('SORTIES 2015'!B37:B100,B72,'SORTIES 2015'!E37:E100)</f>
        <v>0</v>
      </c>
      <c r="F72" s="28" t="str">
        <f>CONCATENATE(SUMIF($C$6:$C72,C72,$E$6:$E$370)," / ",SUMIF($C$6:$C$370,C72,$E$6:$E$370))</f>
        <v>0 / 47</v>
      </c>
      <c r="G72" s="28" t="str">
        <f>CONCATENATE(SUMIF($D$6:$D72,D72,$E$6:$E$370)," / ",SUMIF($D$6:$D$370,D72,$E$6:$E$370))</f>
        <v>87 / 212</v>
      </c>
      <c r="H72" s="28" t="str">
        <f>CONCATENATE(SUM($E$6:$E72)," / ",SUM($E$6:$E$370))</f>
        <v>458 / 1280</v>
      </c>
      <c r="I72" s="209">
        <f>SUM($E$6:$E72)/(1+B72-B$6)</f>
        <v>6.8358208955223878</v>
      </c>
      <c r="J72" s="24"/>
      <c r="K72" s="24"/>
      <c r="L72" s="24"/>
    </row>
    <row r="73" spans="2:12" ht="13" thickBot="1">
      <c r="B73" s="123">
        <f t="shared" si="5"/>
        <v>42072</v>
      </c>
      <c r="C73" s="124">
        <f t="shared" si="3"/>
        <v>11</v>
      </c>
      <c r="D73" s="124">
        <f t="shared" si="4"/>
        <v>3</v>
      </c>
      <c r="E73" s="198">
        <f>SUMIF('SORTIES 2015'!B38:B101,B73,'SORTIES 2015'!E38:E101)</f>
        <v>9</v>
      </c>
      <c r="F73" s="28" t="str">
        <f>CONCATENATE(SUMIF($C$6:$C73,C73,$E$6:$E$370)," / ",SUMIF($C$6:$C$370,C73,$E$6:$E$370))</f>
        <v>9 / 47</v>
      </c>
      <c r="G73" s="28" t="str">
        <f>CONCATENATE(SUMIF($D$6:$D73,D73,$E$6:$E$370)," / ",SUMIF($D$6:$D$370,D73,$E$6:$E$370))</f>
        <v>96 / 212</v>
      </c>
      <c r="H73" s="28" t="str">
        <f>CONCATENATE(SUM($E$6:$E73)," / ",SUM($E$6:$E$370))</f>
        <v>467 / 1280</v>
      </c>
      <c r="I73" s="209">
        <f>SUM($E$6:$E73)/(1+B73-B$6)</f>
        <v>6.867647058823529</v>
      </c>
      <c r="J73" s="24"/>
      <c r="K73" s="24"/>
      <c r="L73" s="24"/>
    </row>
    <row r="74" spans="2:12" ht="13" thickBot="1">
      <c r="B74" s="123">
        <f t="shared" si="5"/>
        <v>42073</v>
      </c>
      <c r="C74" s="124">
        <f t="shared" si="3"/>
        <v>11</v>
      </c>
      <c r="D74" s="124">
        <f t="shared" si="4"/>
        <v>3</v>
      </c>
      <c r="E74" s="198">
        <f>SUMIF('SORTIES 2015'!B39:B102,B74,'SORTIES 2015'!E39:E102)</f>
        <v>20</v>
      </c>
      <c r="F74" s="28" t="str">
        <f>CONCATENATE(SUMIF($C$6:$C74,C74,$E$6:$E$370)," / ",SUMIF($C$6:$C$370,C74,$E$6:$E$370))</f>
        <v>29 / 47</v>
      </c>
      <c r="G74" s="28" t="str">
        <f>CONCATENATE(SUMIF($D$6:$D74,D74,$E$6:$E$370)," / ",SUMIF($D$6:$D$370,D74,$E$6:$E$370))</f>
        <v>116 / 212</v>
      </c>
      <c r="H74" s="28" t="str">
        <f>CONCATENATE(SUM($E$6:$E74)," / ",SUM($E$6:$E$370))</f>
        <v>487 / 1280</v>
      </c>
      <c r="I74" s="209">
        <f>SUM($E$6:$E74)/(1+B74-B$6)</f>
        <v>7.0579710144927539</v>
      </c>
      <c r="J74" s="24"/>
      <c r="K74" s="24"/>
      <c r="L74" s="24"/>
    </row>
    <row r="75" spans="2:12" ht="13" thickBot="1">
      <c r="B75" s="123">
        <f t="shared" si="5"/>
        <v>42074</v>
      </c>
      <c r="C75" s="124">
        <f t="shared" si="3"/>
        <v>11</v>
      </c>
      <c r="D75" s="124">
        <f t="shared" si="4"/>
        <v>3</v>
      </c>
      <c r="E75" s="198">
        <f>SUMIF('SORTIES 2015'!B40:B103,B75,'SORTIES 2015'!E40:E103)</f>
        <v>0</v>
      </c>
      <c r="F75" s="28" t="str">
        <f>CONCATENATE(SUMIF($C$6:$C75,C75,$E$6:$E$370)," / ",SUMIF($C$6:$C$370,C75,$E$6:$E$370))</f>
        <v>29 / 47</v>
      </c>
      <c r="G75" s="28" t="str">
        <f>CONCATENATE(SUMIF($D$6:$D75,D75,$E$6:$E$370)," / ",SUMIF($D$6:$D$370,D75,$E$6:$E$370))</f>
        <v>116 / 212</v>
      </c>
      <c r="H75" s="28" t="str">
        <f>CONCATENATE(SUM($E$6:$E75)," / ",SUM($E$6:$E$370))</f>
        <v>487 / 1280</v>
      </c>
      <c r="I75" s="209">
        <f>SUM($E$6:$E75)/(1+B75-B$6)</f>
        <v>6.9571428571428573</v>
      </c>
      <c r="J75" s="24"/>
      <c r="K75" s="24"/>
      <c r="L75" s="24"/>
    </row>
    <row r="76" spans="2:12" ht="13" thickBot="1">
      <c r="B76" s="123">
        <f t="shared" si="5"/>
        <v>42075</v>
      </c>
      <c r="C76" s="124">
        <f t="shared" si="3"/>
        <v>11</v>
      </c>
      <c r="D76" s="124">
        <f t="shared" si="4"/>
        <v>3</v>
      </c>
      <c r="E76" s="198">
        <f>SUMIF('SORTIES 2015'!B41:B104,B76,'SORTIES 2015'!E41:E104)</f>
        <v>8</v>
      </c>
      <c r="F76" s="28" t="str">
        <f>CONCATENATE(SUMIF($C$6:$C76,C76,$E$6:$E$370)," / ",SUMIF($C$6:$C$370,C76,$E$6:$E$370))</f>
        <v>37 / 47</v>
      </c>
      <c r="G76" s="28" t="str">
        <f>CONCATENATE(SUMIF($D$6:$D76,D76,$E$6:$E$370)," / ",SUMIF($D$6:$D$370,D76,$E$6:$E$370))</f>
        <v>124 / 212</v>
      </c>
      <c r="H76" s="28" t="str">
        <f>CONCATENATE(SUM($E$6:$E76)," / ",SUM($E$6:$E$370))</f>
        <v>495 / 1280</v>
      </c>
      <c r="I76" s="209">
        <f>SUM($E$6:$E76)/(1+B76-B$6)</f>
        <v>6.971830985915493</v>
      </c>
      <c r="J76" s="24"/>
      <c r="K76" s="24"/>
      <c r="L76" s="24"/>
    </row>
    <row r="77" spans="2:12" ht="13" thickBot="1">
      <c r="B77" s="123">
        <f t="shared" si="5"/>
        <v>42076</v>
      </c>
      <c r="C77" s="124">
        <f t="shared" si="3"/>
        <v>11</v>
      </c>
      <c r="D77" s="124">
        <f t="shared" si="4"/>
        <v>3</v>
      </c>
      <c r="E77" s="198">
        <f>SUMIF('SORTIES 2015'!B42:B105,B77,'SORTIES 2015'!E42:E105)</f>
        <v>0</v>
      </c>
      <c r="F77" s="28" t="str">
        <f>CONCATENATE(SUMIF($C$6:$C77,C77,$E$6:$E$370)," / ",SUMIF($C$6:$C$370,C77,$E$6:$E$370))</f>
        <v>37 / 47</v>
      </c>
      <c r="G77" s="28" t="str">
        <f>CONCATENATE(SUMIF($D$6:$D77,D77,$E$6:$E$370)," / ",SUMIF($D$6:$D$370,D77,$E$6:$E$370))</f>
        <v>124 / 212</v>
      </c>
      <c r="H77" s="28" t="str">
        <f>CONCATENATE(SUM($E$6:$E77)," / ",SUM($E$6:$E$370))</f>
        <v>495 / 1280</v>
      </c>
      <c r="I77" s="209">
        <f>SUM($E$6:$E77)/(1+B77-B$6)</f>
        <v>6.875</v>
      </c>
      <c r="J77" s="24"/>
      <c r="K77" s="24"/>
      <c r="L77" s="24"/>
    </row>
    <row r="78" spans="2:12" ht="13" thickBot="1">
      <c r="B78" s="123">
        <f t="shared" si="5"/>
        <v>42077</v>
      </c>
      <c r="C78" s="124">
        <f t="shared" si="3"/>
        <v>11</v>
      </c>
      <c r="D78" s="124">
        <f t="shared" si="4"/>
        <v>3</v>
      </c>
      <c r="E78" s="198">
        <f>SUMIF('SORTIES 2015'!B43:B106,B78,'SORTIES 2015'!E43:E106)</f>
        <v>10</v>
      </c>
      <c r="F78" s="28" t="str">
        <f>CONCATENATE(SUMIF($C$6:$C78,C78,$E$6:$E$370)," / ",SUMIF($C$6:$C$370,C78,$E$6:$E$370))</f>
        <v>47 / 47</v>
      </c>
      <c r="G78" s="28" t="str">
        <f>CONCATENATE(SUMIF($D$6:$D78,D78,$E$6:$E$370)," / ",SUMIF($D$6:$D$370,D78,$E$6:$E$370))</f>
        <v>134 / 212</v>
      </c>
      <c r="H78" s="28" t="str">
        <f>CONCATENATE(SUM($E$6:$E78)," / ",SUM($E$6:$E$370))</f>
        <v>505 / 1280</v>
      </c>
      <c r="I78" s="209">
        <f>SUM($E$6:$E78)/(1+B78-B$6)</f>
        <v>6.9178082191780819</v>
      </c>
      <c r="J78" s="24"/>
      <c r="K78" s="24"/>
      <c r="L78" s="24"/>
    </row>
    <row r="79" spans="2:12" ht="13" thickBot="1">
      <c r="B79" s="123">
        <f t="shared" si="5"/>
        <v>42078</v>
      </c>
      <c r="C79" s="124">
        <f t="shared" si="3"/>
        <v>12</v>
      </c>
      <c r="D79" s="124">
        <f t="shared" si="4"/>
        <v>3</v>
      </c>
      <c r="E79" s="198">
        <f>SUMIF('SORTIES 2015'!B44:B107,B79,'SORTIES 2015'!E44:E107)</f>
        <v>0</v>
      </c>
      <c r="F79" s="28" t="str">
        <f>CONCATENATE(SUMIF($C$6:$C79,C79,$E$6:$E$370)," / ",SUMIF($C$6:$C$370,C79,$E$6:$E$370))</f>
        <v>0 / 36</v>
      </c>
      <c r="G79" s="28" t="str">
        <f>CONCATENATE(SUMIF($D$6:$D79,D79,$E$6:$E$370)," / ",SUMIF($D$6:$D$370,D79,$E$6:$E$370))</f>
        <v>134 / 212</v>
      </c>
      <c r="H79" s="28" t="str">
        <f>CONCATENATE(SUM($E$6:$E79)," / ",SUM($E$6:$E$370))</f>
        <v>505 / 1280</v>
      </c>
      <c r="I79" s="209">
        <f>SUM($E$6:$E79)/(1+B79-B$6)</f>
        <v>6.8243243243243246</v>
      </c>
      <c r="J79" s="24"/>
      <c r="K79" s="24"/>
      <c r="L79" s="24"/>
    </row>
    <row r="80" spans="2:12" ht="13" thickBot="1">
      <c r="B80" s="123">
        <f t="shared" si="5"/>
        <v>42079</v>
      </c>
      <c r="C80" s="124">
        <f t="shared" si="3"/>
        <v>12</v>
      </c>
      <c r="D80" s="124">
        <f t="shared" si="4"/>
        <v>3</v>
      </c>
      <c r="E80" s="198">
        <f>SUMIF('SORTIES 2015'!B45:B108,B80,'SORTIES 2015'!E45:E108)</f>
        <v>10</v>
      </c>
      <c r="F80" s="28" t="str">
        <f>CONCATENATE(SUMIF($C$6:$C80,C80,$E$6:$E$370)," / ",SUMIF($C$6:$C$370,C80,$E$6:$E$370))</f>
        <v>10 / 36</v>
      </c>
      <c r="G80" s="28" t="str">
        <f>CONCATENATE(SUMIF($D$6:$D80,D80,$E$6:$E$370)," / ",SUMIF($D$6:$D$370,D80,$E$6:$E$370))</f>
        <v>144 / 212</v>
      </c>
      <c r="H80" s="28" t="str">
        <f>CONCATENATE(SUM($E$6:$E80)," / ",SUM($E$6:$E$370))</f>
        <v>515 / 1280</v>
      </c>
      <c r="I80" s="209">
        <f>SUM($E$6:$E80)/(1+B80-B$6)</f>
        <v>6.8666666666666663</v>
      </c>
      <c r="J80" s="24"/>
      <c r="K80" s="24"/>
      <c r="L80" s="24"/>
    </row>
    <row r="81" spans="2:12" ht="13" thickBot="1">
      <c r="B81" s="123">
        <f t="shared" si="5"/>
        <v>42080</v>
      </c>
      <c r="C81" s="124">
        <f t="shared" si="3"/>
        <v>12</v>
      </c>
      <c r="D81" s="124">
        <f t="shared" si="4"/>
        <v>3</v>
      </c>
      <c r="E81" s="198">
        <f>SUMIF('SORTIES 2015'!B46:B109,B81,'SORTIES 2015'!E46:E109)</f>
        <v>0</v>
      </c>
      <c r="F81" s="28" t="str">
        <f>CONCATENATE(SUMIF($C$6:$C81,C81,$E$6:$E$370)," / ",SUMIF($C$6:$C$370,C81,$E$6:$E$370))</f>
        <v>10 / 36</v>
      </c>
      <c r="G81" s="28" t="str">
        <f>CONCATENATE(SUMIF($D$6:$D81,D81,$E$6:$E$370)," / ",SUMIF($D$6:$D$370,D81,$E$6:$E$370))</f>
        <v>144 / 212</v>
      </c>
      <c r="H81" s="28" t="str">
        <f>CONCATENATE(SUM($E$6:$E81)," / ",SUM($E$6:$E$370))</f>
        <v>515 / 1280</v>
      </c>
      <c r="I81" s="209">
        <f>SUM($E$6:$E81)/(1+B81-B$6)</f>
        <v>6.7763157894736841</v>
      </c>
      <c r="J81" s="24"/>
      <c r="K81" s="24"/>
      <c r="L81" s="24"/>
    </row>
    <row r="82" spans="2:12" ht="13" thickBot="1">
      <c r="B82" s="123">
        <f t="shared" si="5"/>
        <v>42081</v>
      </c>
      <c r="C82" s="124">
        <f t="shared" si="3"/>
        <v>12</v>
      </c>
      <c r="D82" s="124">
        <f t="shared" si="4"/>
        <v>3</v>
      </c>
      <c r="E82" s="198">
        <f>SUMIF('SORTIES 2015'!B47:B110,B82,'SORTIES 2015'!E47:E110)</f>
        <v>10</v>
      </c>
      <c r="F82" s="28" t="str">
        <f>CONCATENATE(SUMIF($C$6:$C82,C82,$E$6:$E$370)," / ",SUMIF($C$6:$C$370,C82,$E$6:$E$370))</f>
        <v>20 / 36</v>
      </c>
      <c r="G82" s="28" t="str">
        <f>CONCATENATE(SUMIF($D$6:$D82,D82,$E$6:$E$370)," / ",SUMIF($D$6:$D$370,D82,$E$6:$E$370))</f>
        <v>154 / 212</v>
      </c>
      <c r="H82" s="28" t="str">
        <f>CONCATENATE(SUM($E$6:$E82)," / ",SUM($E$6:$E$370))</f>
        <v>525 / 1280</v>
      </c>
      <c r="I82" s="209">
        <f>SUM($E$6:$E82)/(1+B82-B$6)</f>
        <v>6.8181818181818183</v>
      </c>
      <c r="J82" s="24"/>
      <c r="K82" s="24"/>
      <c r="L82" s="24"/>
    </row>
    <row r="83" spans="2:12" ht="13" thickBot="1">
      <c r="B83" s="123">
        <f t="shared" si="5"/>
        <v>42082</v>
      </c>
      <c r="C83" s="124">
        <f t="shared" si="3"/>
        <v>12</v>
      </c>
      <c r="D83" s="124">
        <f t="shared" si="4"/>
        <v>3</v>
      </c>
      <c r="E83" s="198">
        <f>SUMIF('SORTIES 2015'!B48:B111,B83,'SORTIES 2015'!E48:E111)</f>
        <v>0</v>
      </c>
      <c r="F83" s="28" t="str">
        <f>CONCATENATE(SUMIF($C$6:$C83,C83,$E$6:$E$370)," / ",SUMIF($C$6:$C$370,C83,$E$6:$E$370))</f>
        <v>20 / 36</v>
      </c>
      <c r="G83" s="28" t="str">
        <f>CONCATENATE(SUMIF($D$6:$D83,D83,$E$6:$E$370)," / ",SUMIF($D$6:$D$370,D83,$E$6:$E$370))</f>
        <v>154 / 212</v>
      </c>
      <c r="H83" s="28" t="str">
        <f>CONCATENATE(SUM($E$6:$E83)," / ",SUM($E$6:$E$370))</f>
        <v>525 / 1280</v>
      </c>
      <c r="I83" s="209">
        <f>SUM($E$6:$E83)/(1+B83-B$6)</f>
        <v>6.7307692307692308</v>
      </c>
      <c r="J83" s="24"/>
      <c r="K83" s="24"/>
      <c r="L83" s="24"/>
    </row>
    <row r="84" spans="2:12" ht="13" thickBot="1">
      <c r="B84" s="123">
        <f t="shared" si="5"/>
        <v>42083</v>
      </c>
      <c r="C84" s="124">
        <f t="shared" si="3"/>
        <v>12</v>
      </c>
      <c r="D84" s="124">
        <f t="shared" si="4"/>
        <v>3</v>
      </c>
      <c r="E84" s="198">
        <f>SUMIF('SORTIES 2015'!B49:B112,B84,'SORTIES 2015'!E49:E112)</f>
        <v>16</v>
      </c>
      <c r="F84" s="28" t="str">
        <f>CONCATENATE(SUMIF($C$6:$C84,C84,$E$6:$E$370)," / ",SUMIF($C$6:$C$370,C84,$E$6:$E$370))</f>
        <v>36 / 36</v>
      </c>
      <c r="G84" s="28" t="str">
        <f>CONCATENATE(SUMIF($D$6:$D84,D84,$E$6:$E$370)," / ",SUMIF($D$6:$D$370,D84,$E$6:$E$370))</f>
        <v>170 / 212</v>
      </c>
      <c r="H84" s="28" t="str">
        <f>CONCATENATE(SUM($E$6:$E84)," / ",SUM($E$6:$E$370))</f>
        <v>541 / 1280</v>
      </c>
      <c r="I84" s="209">
        <f>SUM($E$6:$E84)/(1+B84-B$6)</f>
        <v>6.8481012658227849</v>
      </c>
      <c r="J84" s="24"/>
      <c r="K84" s="24"/>
      <c r="L84" s="24"/>
    </row>
    <row r="85" spans="2:12" ht="13" thickBot="1">
      <c r="B85" s="123">
        <f t="shared" si="5"/>
        <v>42084</v>
      </c>
      <c r="C85" s="124">
        <f t="shared" si="3"/>
        <v>12</v>
      </c>
      <c r="D85" s="124">
        <f t="shared" si="4"/>
        <v>3</v>
      </c>
      <c r="E85" s="198">
        <f>SUMIF('SORTIES 2015'!B50:B113,B85,'SORTIES 2015'!E50:E113)</f>
        <v>0</v>
      </c>
      <c r="F85" s="28" t="str">
        <f>CONCATENATE(SUMIF($C$6:$C85,C85,$E$6:$E$370)," / ",SUMIF($C$6:$C$370,C85,$E$6:$E$370))</f>
        <v>36 / 36</v>
      </c>
      <c r="G85" s="28" t="str">
        <f>CONCATENATE(SUMIF($D$6:$D85,D85,$E$6:$E$370)," / ",SUMIF($D$6:$D$370,D85,$E$6:$E$370))</f>
        <v>170 / 212</v>
      </c>
      <c r="H85" s="28" t="str">
        <f>CONCATENATE(SUM($E$6:$E85)," / ",SUM($E$6:$E$370))</f>
        <v>541 / 1280</v>
      </c>
      <c r="I85" s="209">
        <f>SUM($E$6:$E85)/(1+B85-B$6)</f>
        <v>6.7625000000000002</v>
      </c>
      <c r="J85" s="24"/>
      <c r="K85" s="24"/>
      <c r="L85" s="24"/>
    </row>
    <row r="86" spans="2:12" ht="13" thickBot="1">
      <c r="B86" s="123">
        <f t="shared" si="5"/>
        <v>42085</v>
      </c>
      <c r="C86" s="124">
        <f t="shared" si="3"/>
        <v>13</v>
      </c>
      <c r="D86" s="124">
        <f t="shared" si="4"/>
        <v>3</v>
      </c>
      <c r="E86" s="198">
        <f>SUMIF('SORTIES 2015'!B51:B114,B86,'SORTIES 2015'!E51:E114)</f>
        <v>0</v>
      </c>
      <c r="F86" s="28" t="str">
        <f>CONCATENATE(SUMIF($C$6:$C86,C86,$E$6:$E$370)," / ",SUMIF($C$6:$C$370,C86,$E$6:$E$370))</f>
        <v>0 / 32</v>
      </c>
      <c r="G86" s="28" t="str">
        <f>CONCATENATE(SUMIF($D$6:$D86,D86,$E$6:$E$370)," / ",SUMIF($D$6:$D$370,D86,$E$6:$E$370))</f>
        <v>170 / 212</v>
      </c>
      <c r="H86" s="28" t="str">
        <f>CONCATENATE(SUM($E$6:$E86)," / ",SUM($E$6:$E$370))</f>
        <v>541 / 1280</v>
      </c>
      <c r="I86" s="209">
        <f>SUM($E$6:$E86)/(1+B86-B$6)</f>
        <v>6.6790123456790127</v>
      </c>
      <c r="J86" s="24"/>
      <c r="K86" s="24"/>
      <c r="L86" s="24"/>
    </row>
    <row r="87" spans="2:12" ht="13" thickBot="1">
      <c r="B87" s="123">
        <f t="shared" si="5"/>
        <v>42086</v>
      </c>
      <c r="C87" s="124">
        <f t="shared" si="3"/>
        <v>13</v>
      </c>
      <c r="D87" s="124">
        <f t="shared" si="4"/>
        <v>3</v>
      </c>
      <c r="E87" s="198">
        <f>SUMIF('SORTIES 2015'!B52:B115,B87,'SORTIES 2015'!E52:E115)</f>
        <v>0</v>
      </c>
      <c r="F87" s="28" t="str">
        <f>CONCATENATE(SUMIF($C$6:$C87,C87,$E$6:$E$370)," / ",SUMIF($C$6:$C$370,C87,$E$6:$E$370))</f>
        <v>0 / 32</v>
      </c>
      <c r="G87" s="28" t="str">
        <f>CONCATENATE(SUMIF($D$6:$D87,D87,$E$6:$E$370)," / ",SUMIF($D$6:$D$370,D87,$E$6:$E$370))</f>
        <v>170 / 212</v>
      </c>
      <c r="H87" s="28" t="str">
        <f>CONCATENATE(SUM($E$6:$E87)," / ",SUM($E$6:$E$370))</f>
        <v>541 / 1280</v>
      </c>
      <c r="I87" s="209">
        <f>SUM($E$6:$E87)/(1+B87-B$6)</f>
        <v>6.5975609756097562</v>
      </c>
      <c r="J87" s="24"/>
      <c r="K87" s="24"/>
      <c r="L87" s="24"/>
    </row>
    <row r="88" spans="2:12" ht="13" thickBot="1">
      <c r="B88" s="123">
        <f t="shared" si="5"/>
        <v>42087</v>
      </c>
      <c r="C88" s="124">
        <f t="shared" si="3"/>
        <v>13</v>
      </c>
      <c r="D88" s="124">
        <f t="shared" si="4"/>
        <v>3</v>
      </c>
      <c r="E88" s="198">
        <f>SUMIF('SORTIES 2015'!B53:B116,B88,'SORTIES 2015'!E53:E116)</f>
        <v>16</v>
      </c>
      <c r="F88" s="28" t="str">
        <f>CONCATENATE(SUMIF($C$6:$C88,C88,$E$6:$E$370)," / ",SUMIF($C$6:$C$370,C88,$E$6:$E$370))</f>
        <v>16 / 32</v>
      </c>
      <c r="G88" s="28" t="str">
        <f>CONCATENATE(SUMIF($D$6:$D88,D88,$E$6:$E$370)," / ",SUMIF($D$6:$D$370,D88,$E$6:$E$370))</f>
        <v>186 / 212</v>
      </c>
      <c r="H88" s="28" t="str">
        <f>CONCATENATE(SUM($E$6:$E88)," / ",SUM($E$6:$E$370))</f>
        <v>557 / 1280</v>
      </c>
      <c r="I88" s="209">
        <f>SUM($E$6:$E88)/(1+B88-B$6)</f>
        <v>6.7108433734939759</v>
      </c>
      <c r="J88" s="24"/>
      <c r="K88" s="24"/>
      <c r="L88" s="24"/>
    </row>
    <row r="89" spans="2:12" ht="13" thickBot="1">
      <c r="B89" s="123">
        <f t="shared" si="5"/>
        <v>42088</v>
      </c>
      <c r="C89" s="124">
        <f t="shared" si="3"/>
        <v>13</v>
      </c>
      <c r="D89" s="124">
        <f t="shared" si="4"/>
        <v>3</v>
      </c>
      <c r="E89" s="198">
        <f>SUMIF('SORTIES 2015'!B54:B117,B89,'SORTIES 2015'!E54:E117)</f>
        <v>0</v>
      </c>
      <c r="F89" s="28" t="str">
        <f>CONCATENATE(SUMIF($C$6:$C89,C89,$E$6:$E$370)," / ",SUMIF($C$6:$C$370,C89,$E$6:$E$370))</f>
        <v>16 / 32</v>
      </c>
      <c r="G89" s="28" t="str">
        <f>CONCATENATE(SUMIF($D$6:$D89,D89,$E$6:$E$370)," / ",SUMIF($D$6:$D$370,D89,$E$6:$E$370))</f>
        <v>186 / 212</v>
      </c>
      <c r="H89" s="28" t="str">
        <f>CONCATENATE(SUM($E$6:$E89)," / ",SUM($E$6:$E$370))</f>
        <v>557 / 1280</v>
      </c>
      <c r="I89" s="209">
        <f>SUM($E$6:$E89)/(1+B89-B$6)</f>
        <v>6.6309523809523814</v>
      </c>
      <c r="J89" s="24"/>
      <c r="K89" s="24"/>
      <c r="L89" s="24"/>
    </row>
    <row r="90" spans="2:12" ht="13" thickBot="1">
      <c r="B90" s="123">
        <f t="shared" si="5"/>
        <v>42089</v>
      </c>
      <c r="C90" s="124">
        <f t="shared" si="3"/>
        <v>13</v>
      </c>
      <c r="D90" s="124">
        <f t="shared" si="4"/>
        <v>3</v>
      </c>
      <c r="E90" s="198">
        <f>SUMIF('SORTIES 2015'!B55:B118,B90,'SORTIES 2015'!E55:E118)</f>
        <v>0</v>
      </c>
      <c r="F90" s="28" t="str">
        <f>CONCATENATE(SUMIF($C$6:$C90,C90,$E$6:$E$370)," / ",SUMIF($C$6:$C$370,C90,$E$6:$E$370))</f>
        <v>16 / 32</v>
      </c>
      <c r="G90" s="28" t="str">
        <f>CONCATENATE(SUMIF($D$6:$D90,D90,$E$6:$E$370)," / ",SUMIF($D$6:$D$370,D90,$E$6:$E$370))</f>
        <v>186 / 212</v>
      </c>
      <c r="H90" s="28" t="str">
        <f>CONCATENATE(SUM($E$6:$E90)," / ",SUM($E$6:$E$370))</f>
        <v>557 / 1280</v>
      </c>
      <c r="I90" s="209">
        <f>SUM($E$6:$E90)/(1+B90-B$6)</f>
        <v>6.552941176470588</v>
      </c>
      <c r="J90" s="24"/>
      <c r="K90" s="24"/>
      <c r="L90" s="24"/>
    </row>
    <row r="91" spans="2:12" ht="13" thickBot="1">
      <c r="B91" s="123">
        <f t="shared" si="5"/>
        <v>42090</v>
      </c>
      <c r="C91" s="124">
        <f t="shared" si="3"/>
        <v>13</v>
      </c>
      <c r="D91" s="124">
        <f t="shared" si="4"/>
        <v>3</v>
      </c>
      <c r="E91" s="198">
        <f>SUMIF('SORTIES 2015'!B56:B119,B91,'SORTIES 2015'!E56:E119)</f>
        <v>16</v>
      </c>
      <c r="F91" s="28" t="str">
        <f>CONCATENATE(SUMIF($C$6:$C91,C91,$E$6:$E$370)," / ",SUMIF($C$6:$C$370,C91,$E$6:$E$370))</f>
        <v>32 / 32</v>
      </c>
      <c r="G91" s="28" t="str">
        <f>CONCATENATE(SUMIF($D$6:$D91,D91,$E$6:$E$370)," / ",SUMIF($D$6:$D$370,D91,$E$6:$E$370))</f>
        <v>202 / 212</v>
      </c>
      <c r="H91" s="28" t="str">
        <f>CONCATENATE(SUM($E$6:$E91)," / ",SUM($E$6:$E$370))</f>
        <v>573 / 1280</v>
      </c>
      <c r="I91" s="209">
        <f>SUM($E$6:$E91)/(1+B91-B$6)</f>
        <v>6.6627906976744189</v>
      </c>
      <c r="J91" s="24"/>
      <c r="K91" s="24"/>
      <c r="L91" s="24"/>
    </row>
    <row r="92" spans="2:12" ht="13" thickBot="1">
      <c r="B92" s="123">
        <f t="shared" si="5"/>
        <v>42091</v>
      </c>
      <c r="C92" s="124">
        <f t="shared" si="3"/>
        <v>13</v>
      </c>
      <c r="D92" s="124">
        <f t="shared" si="4"/>
        <v>3</v>
      </c>
      <c r="E92" s="198">
        <f>SUMIF('SORTIES 2015'!B57:B120,B92,'SORTIES 2015'!E57:E120)</f>
        <v>0</v>
      </c>
      <c r="F92" s="28" t="str">
        <f>CONCATENATE(SUMIF($C$6:$C92,C92,$E$6:$E$370)," / ",SUMIF($C$6:$C$370,C92,$E$6:$E$370))</f>
        <v>32 / 32</v>
      </c>
      <c r="G92" s="28" t="str">
        <f>CONCATENATE(SUMIF($D$6:$D92,D92,$E$6:$E$370)," / ",SUMIF($D$6:$D$370,D92,$E$6:$E$370))</f>
        <v>202 / 212</v>
      </c>
      <c r="H92" s="28" t="str">
        <f>CONCATENATE(SUM($E$6:$E92)," / ",SUM($E$6:$E$370))</f>
        <v>573 / 1280</v>
      </c>
      <c r="I92" s="209">
        <f>SUM($E$6:$E92)/(1+B92-B$6)</f>
        <v>6.5862068965517242</v>
      </c>
      <c r="J92" s="24"/>
      <c r="K92" s="24"/>
      <c r="L92" s="24"/>
    </row>
    <row r="93" spans="2:12" ht="13" thickBot="1">
      <c r="B93" s="123">
        <f t="shared" si="5"/>
        <v>42092</v>
      </c>
      <c r="C93" s="124">
        <f t="shared" si="3"/>
        <v>14</v>
      </c>
      <c r="D93" s="124">
        <f t="shared" si="4"/>
        <v>3</v>
      </c>
      <c r="E93" s="198">
        <f>SUMIF('SORTIES 2015'!B58:B121,B93,'SORTIES 2015'!E58:E121)</f>
        <v>0</v>
      </c>
      <c r="F93" s="28" t="str">
        <f>CONCATENATE(SUMIF($C$6:$C93,C93,$E$6:$E$370)," / ",SUMIF($C$6:$C$370,C93,$E$6:$E$370))</f>
        <v>0 / 51</v>
      </c>
      <c r="G93" s="28" t="str">
        <f>CONCATENATE(SUMIF($D$6:$D93,D93,$E$6:$E$370)," / ",SUMIF($D$6:$D$370,D93,$E$6:$E$370))</f>
        <v>202 / 212</v>
      </c>
      <c r="H93" s="28" t="str">
        <f>CONCATENATE(SUM($E$6:$E93)," / ",SUM($E$6:$E$370))</f>
        <v>573 / 1280</v>
      </c>
      <c r="I93" s="209">
        <f>SUM($E$6:$E93)/(1+B93-B$6)</f>
        <v>6.5113636363636367</v>
      </c>
      <c r="J93" s="24"/>
      <c r="K93" s="24"/>
      <c r="L93" s="24"/>
    </row>
    <row r="94" spans="2:12" ht="13" thickBot="1">
      <c r="B94" s="123">
        <f t="shared" si="5"/>
        <v>42093</v>
      </c>
      <c r="C94" s="124">
        <f t="shared" si="3"/>
        <v>14</v>
      </c>
      <c r="D94" s="124">
        <f t="shared" si="4"/>
        <v>3</v>
      </c>
      <c r="E94" s="198">
        <f>SUMIF('SORTIES 2015'!B59:B122,B94,'SORTIES 2015'!E59:E122)</f>
        <v>10</v>
      </c>
      <c r="F94" s="28" t="str">
        <f>CONCATENATE(SUMIF($C$6:$C94,C94,$E$6:$E$370)," / ",SUMIF($C$6:$C$370,C94,$E$6:$E$370))</f>
        <v>10 / 51</v>
      </c>
      <c r="G94" s="28" t="str">
        <f>CONCATENATE(SUMIF($D$6:$D94,D94,$E$6:$E$370)," / ",SUMIF($D$6:$D$370,D94,$E$6:$E$370))</f>
        <v>212 / 212</v>
      </c>
      <c r="H94" s="28" t="str">
        <f>CONCATENATE(SUM($E$6:$E94)," / ",SUM($E$6:$E$370))</f>
        <v>583 / 1280</v>
      </c>
      <c r="I94" s="209">
        <f>SUM($E$6:$E94)/(1+B94-B$6)</f>
        <v>6.5505617977528088</v>
      </c>
      <c r="J94" s="24"/>
      <c r="K94" s="24"/>
      <c r="L94" s="24"/>
    </row>
    <row r="95" spans="2:12" ht="13" thickBot="1">
      <c r="B95" s="123">
        <f t="shared" si="5"/>
        <v>42094</v>
      </c>
      <c r="C95" s="124">
        <f t="shared" si="3"/>
        <v>14</v>
      </c>
      <c r="D95" s="124">
        <f t="shared" si="4"/>
        <v>3</v>
      </c>
      <c r="E95" s="198">
        <f>SUMIF('SORTIES 2015'!B60:B123,B95,'SORTIES 2015'!E60:E123)</f>
        <v>0</v>
      </c>
      <c r="F95" s="28" t="str">
        <f>CONCATENATE(SUMIF($C$6:$C95,C95,$E$6:$E$370)," / ",SUMIF($C$6:$C$370,C95,$E$6:$E$370))</f>
        <v>10 / 51</v>
      </c>
      <c r="G95" s="28" t="str">
        <f>CONCATENATE(SUMIF($D$6:$D95,D95,$E$6:$E$370)," / ",SUMIF($D$6:$D$370,D95,$E$6:$E$370))</f>
        <v>212 / 212</v>
      </c>
      <c r="H95" s="28" t="str">
        <f>CONCATENATE(SUM($E$6:$E95)," / ",SUM($E$6:$E$370))</f>
        <v>583 / 1280</v>
      </c>
      <c r="I95" s="209">
        <f>SUM($E$6:$E95)/(1+B95-B$6)</f>
        <v>6.4777777777777779</v>
      </c>
      <c r="J95" s="24"/>
      <c r="K95" s="24"/>
      <c r="L95" s="24"/>
    </row>
    <row r="96" spans="2:12" ht="13" thickBot="1">
      <c r="B96" s="123">
        <f t="shared" si="5"/>
        <v>42095</v>
      </c>
      <c r="C96" s="124">
        <f t="shared" si="3"/>
        <v>14</v>
      </c>
      <c r="D96" s="124">
        <f t="shared" si="4"/>
        <v>4</v>
      </c>
      <c r="E96" s="198">
        <f>SUMIF('SORTIES 2015'!B61:B124,B96,'SORTIES 2015'!E61:E124)</f>
        <v>20</v>
      </c>
      <c r="F96" s="28" t="str">
        <f>CONCATENATE(SUMIF($C$6:$C96,C96,$E$6:$E$370)," / ",SUMIF($C$6:$C$370,C96,$E$6:$E$370))</f>
        <v>30 / 51</v>
      </c>
      <c r="G96" s="28" t="str">
        <f>CONCATENATE(SUMIF($D$6:$D96,D96,$E$6:$E$370)," / ",SUMIF($D$6:$D$370,D96,$E$6:$E$370))</f>
        <v>20 / 254</v>
      </c>
      <c r="H96" s="28" t="str">
        <f>CONCATENATE(SUM($E$6:$E96)," / ",SUM($E$6:$E$370))</f>
        <v>603 / 1280</v>
      </c>
      <c r="I96" s="209">
        <f>SUM($E$6:$E96)/(1+B96-B$6)</f>
        <v>6.6263736263736268</v>
      </c>
      <c r="J96" s="24"/>
      <c r="K96" s="24"/>
      <c r="L96" s="24"/>
    </row>
    <row r="97" spans="2:12" ht="13" thickBot="1">
      <c r="B97" s="123">
        <f t="shared" si="5"/>
        <v>42096</v>
      </c>
      <c r="C97" s="124">
        <f t="shared" si="3"/>
        <v>14</v>
      </c>
      <c r="D97" s="124">
        <f t="shared" si="4"/>
        <v>4</v>
      </c>
      <c r="E97" s="198">
        <f>SUMIF('SORTIES 2015'!B62:B125,B97,'SORTIES 2015'!E62:E125)</f>
        <v>0</v>
      </c>
      <c r="F97" s="28" t="str">
        <f>CONCATENATE(SUMIF($C$6:$C97,C97,$E$6:$E$370)," / ",SUMIF($C$6:$C$370,C97,$E$6:$E$370))</f>
        <v>30 / 51</v>
      </c>
      <c r="G97" s="28" t="str">
        <f>CONCATENATE(SUMIF($D$6:$D97,D97,$E$6:$E$370)," / ",SUMIF($D$6:$D$370,D97,$E$6:$E$370))</f>
        <v>20 / 254</v>
      </c>
      <c r="H97" s="28" t="str">
        <f>CONCATENATE(SUM($E$6:$E97)," / ",SUM($E$6:$E$370))</f>
        <v>603 / 1280</v>
      </c>
      <c r="I97" s="209">
        <f>SUM($E$6:$E97)/(1+B97-B$6)</f>
        <v>6.5543478260869561</v>
      </c>
      <c r="J97" s="24"/>
      <c r="K97" s="24"/>
      <c r="L97" s="24"/>
    </row>
    <row r="98" spans="2:12" ht="13" thickBot="1">
      <c r="B98" s="123">
        <f t="shared" si="5"/>
        <v>42097</v>
      </c>
      <c r="C98" s="124">
        <f t="shared" si="3"/>
        <v>14</v>
      </c>
      <c r="D98" s="124">
        <f t="shared" si="4"/>
        <v>4</v>
      </c>
      <c r="E98" s="198">
        <f>SUMIF('SORTIES 2015'!B63:B126,B98,'SORTIES 2015'!E63:E126)</f>
        <v>21</v>
      </c>
      <c r="F98" s="28" t="str">
        <f>CONCATENATE(SUMIF($C$6:$C98,C98,$E$6:$E$370)," / ",SUMIF($C$6:$C$370,C98,$E$6:$E$370))</f>
        <v>51 / 51</v>
      </c>
      <c r="G98" s="28" t="str">
        <f>CONCATENATE(SUMIF($D$6:$D98,D98,$E$6:$E$370)," / ",SUMIF($D$6:$D$370,D98,$E$6:$E$370))</f>
        <v>41 / 254</v>
      </c>
      <c r="H98" s="28" t="str">
        <f>CONCATENATE(SUM($E$6:$E98)," / ",SUM($E$6:$E$370))</f>
        <v>624 / 1280</v>
      </c>
      <c r="I98" s="209">
        <f>SUM($E$6:$E98)/(1+B98-B$6)</f>
        <v>6.709677419354839</v>
      </c>
      <c r="J98" s="24"/>
      <c r="K98" s="24"/>
      <c r="L98" s="24"/>
    </row>
    <row r="99" spans="2:12" ht="13" thickBot="1">
      <c r="B99" s="123">
        <f t="shared" si="5"/>
        <v>42098</v>
      </c>
      <c r="C99" s="124">
        <f t="shared" si="3"/>
        <v>14</v>
      </c>
      <c r="D99" s="124">
        <f t="shared" si="4"/>
        <v>4</v>
      </c>
      <c r="E99" s="198">
        <f>SUMIF('SORTIES 2015'!B64:B127,B99,'SORTIES 2015'!E64:E127)</f>
        <v>0</v>
      </c>
      <c r="F99" s="28" t="str">
        <f>CONCATENATE(SUMIF($C$6:$C99,C99,$E$6:$E$370)," / ",SUMIF($C$6:$C$370,C99,$E$6:$E$370))</f>
        <v>51 / 51</v>
      </c>
      <c r="G99" s="28" t="str">
        <f>CONCATENATE(SUMIF($D$6:$D99,D99,$E$6:$E$370)," / ",SUMIF($D$6:$D$370,D99,$E$6:$E$370))</f>
        <v>41 / 254</v>
      </c>
      <c r="H99" s="28" t="str">
        <f>CONCATENATE(SUM($E$6:$E99)," / ",SUM($E$6:$E$370))</f>
        <v>624 / 1280</v>
      </c>
      <c r="I99" s="209">
        <f>SUM($E$6:$E99)/(1+B99-B$6)</f>
        <v>6.6382978723404253</v>
      </c>
      <c r="J99" s="24"/>
      <c r="K99" s="24"/>
      <c r="L99" s="24"/>
    </row>
    <row r="100" spans="2:12" ht="13" thickBot="1">
      <c r="B100" s="123">
        <f t="shared" si="5"/>
        <v>42099</v>
      </c>
      <c r="C100" s="124">
        <f t="shared" si="3"/>
        <v>15</v>
      </c>
      <c r="D100" s="124">
        <f t="shared" si="4"/>
        <v>4</v>
      </c>
      <c r="E100" s="198">
        <f>SUMIF('SORTIES 2015'!B65:B128,B100,'SORTIES 2015'!E65:E128)</f>
        <v>0</v>
      </c>
      <c r="F100" s="28" t="str">
        <f>CONCATENATE(SUMIF($C$6:$C100,C100,$E$6:$E$370)," / ",SUMIF($C$6:$C$370,C100,$E$6:$E$370))</f>
        <v>0 / 49</v>
      </c>
      <c r="G100" s="28" t="str">
        <f>CONCATENATE(SUMIF($D$6:$D100,D100,$E$6:$E$370)," / ",SUMIF($D$6:$D$370,D100,$E$6:$E$370))</f>
        <v>41 / 254</v>
      </c>
      <c r="H100" s="28" t="str">
        <f>CONCATENATE(SUM($E$6:$E100)," / ",SUM($E$6:$E$370))</f>
        <v>624 / 1280</v>
      </c>
      <c r="I100" s="209">
        <f>SUM($E$6:$E100)/(1+B100-B$6)</f>
        <v>6.5684210526315789</v>
      </c>
      <c r="J100" s="24"/>
      <c r="K100" s="24"/>
      <c r="L100" s="24"/>
    </row>
    <row r="101" spans="2:12" ht="13" thickBot="1">
      <c r="B101" s="123">
        <f t="shared" si="5"/>
        <v>42100</v>
      </c>
      <c r="C101" s="124">
        <f t="shared" si="3"/>
        <v>15</v>
      </c>
      <c r="D101" s="124">
        <f t="shared" si="4"/>
        <v>4</v>
      </c>
      <c r="E101" s="198">
        <f>SUMIF('SORTIES 2015'!B66:B129,B101,'SORTIES 2015'!E66:E129)</f>
        <v>15</v>
      </c>
      <c r="F101" s="28" t="str">
        <f>CONCATENATE(SUMIF($C$6:$C101,C101,$E$6:$E$370)," / ",SUMIF($C$6:$C$370,C101,$E$6:$E$370))</f>
        <v>15 / 49</v>
      </c>
      <c r="G101" s="28" t="str">
        <f>CONCATENATE(SUMIF($D$6:$D101,D101,$E$6:$E$370)," / ",SUMIF($D$6:$D$370,D101,$E$6:$E$370))</f>
        <v>56 / 254</v>
      </c>
      <c r="H101" s="28" t="str">
        <f>CONCATENATE(SUM($E$6:$E101)," / ",SUM($E$6:$E$370))</f>
        <v>639 / 1280</v>
      </c>
      <c r="I101" s="209">
        <f>SUM($E$6:$E101)/(1+B101-B$6)</f>
        <v>6.65625</v>
      </c>
      <c r="J101" s="24"/>
      <c r="K101" s="24"/>
      <c r="L101" s="24"/>
    </row>
    <row r="102" spans="2:12" ht="13" thickBot="1">
      <c r="B102" s="123">
        <f t="shared" si="5"/>
        <v>42101</v>
      </c>
      <c r="C102" s="124">
        <f t="shared" si="3"/>
        <v>15</v>
      </c>
      <c r="D102" s="124">
        <f t="shared" si="4"/>
        <v>4</v>
      </c>
      <c r="E102" s="198">
        <f>SUMIF('SORTIES 2015'!B67:B130,B102,'SORTIES 2015'!E67:E130)</f>
        <v>0</v>
      </c>
      <c r="F102" s="28" t="str">
        <f>CONCATENATE(SUMIF($C$6:$C102,C102,$E$6:$E$370)," / ",SUMIF($C$6:$C$370,C102,$E$6:$E$370))</f>
        <v>15 / 49</v>
      </c>
      <c r="G102" s="28" t="str">
        <f>CONCATENATE(SUMIF($D$6:$D102,D102,$E$6:$E$370)," / ",SUMIF($D$6:$D$370,D102,$E$6:$E$370))</f>
        <v>56 / 254</v>
      </c>
      <c r="H102" s="28" t="str">
        <f>CONCATENATE(SUM($E$6:$E102)," / ",SUM($E$6:$E$370))</f>
        <v>639 / 1280</v>
      </c>
      <c r="I102" s="209">
        <f>SUM($E$6:$E102)/(1+B102-B$6)</f>
        <v>6.5876288659793811</v>
      </c>
      <c r="J102" s="24"/>
      <c r="K102" s="24"/>
      <c r="L102" s="24"/>
    </row>
    <row r="103" spans="2:12" ht="13" thickBot="1">
      <c r="B103" s="123">
        <f t="shared" si="5"/>
        <v>42102</v>
      </c>
      <c r="C103" s="124">
        <f t="shared" si="3"/>
        <v>15</v>
      </c>
      <c r="D103" s="124">
        <f t="shared" si="4"/>
        <v>4</v>
      </c>
      <c r="E103" s="198">
        <f>SUMIF('SORTIES 2015'!B68:B131,B103,'SORTIES 2015'!E68:E131)</f>
        <v>12</v>
      </c>
      <c r="F103" s="28" t="str">
        <f>CONCATENATE(SUMIF($C$6:$C103,C103,$E$6:$E$370)," / ",SUMIF($C$6:$C$370,C103,$E$6:$E$370))</f>
        <v>27 / 49</v>
      </c>
      <c r="G103" s="28" t="str">
        <f>CONCATENATE(SUMIF($D$6:$D103,D103,$E$6:$E$370)," / ",SUMIF($D$6:$D$370,D103,$E$6:$E$370))</f>
        <v>68 / 254</v>
      </c>
      <c r="H103" s="28" t="str">
        <f>CONCATENATE(SUM($E$6:$E103)," / ",SUM($E$6:$E$370))</f>
        <v>651 / 1280</v>
      </c>
      <c r="I103" s="209">
        <f>SUM($E$6:$E103)/(1+B103-B$6)</f>
        <v>6.6428571428571432</v>
      </c>
      <c r="J103" s="24"/>
      <c r="K103" s="24"/>
      <c r="L103" s="24"/>
    </row>
    <row r="104" spans="2:12" ht="13" thickBot="1">
      <c r="B104" s="123">
        <f t="shared" si="5"/>
        <v>42103</v>
      </c>
      <c r="C104" s="124">
        <f t="shared" si="3"/>
        <v>15</v>
      </c>
      <c r="D104" s="124">
        <f t="shared" si="4"/>
        <v>4</v>
      </c>
      <c r="E104" s="198">
        <f>SUMIF('SORTIES 2015'!B69:B132,B104,'SORTIES 2015'!E69:E132)</f>
        <v>0</v>
      </c>
      <c r="F104" s="28" t="str">
        <f>CONCATENATE(SUMIF($C$6:$C104,C104,$E$6:$E$370)," / ",SUMIF($C$6:$C$370,C104,$E$6:$E$370))</f>
        <v>27 / 49</v>
      </c>
      <c r="G104" s="28" t="str">
        <f>CONCATENATE(SUMIF($D$6:$D104,D104,$E$6:$E$370)," / ",SUMIF($D$6:$D$370,D104,$E$6:$E$370))</f>
        <v>68 / 254</v>
      </c>
      <c r="H104" s="28" t="str">
        <f>CONCATENATE(SUM($E$6:$E104)," / ",SUM($E$6:$E$370))</f>
        <v>651 / 1280</v>
      </c>
      <c r="I104" s="209">
        <f>SUM($E$6:$E104)/(1+B104-B$6)</f>
        <v>6.5757575757575761</v>
      </c>
      <c r="J104" s="24"/>
      <c r="K104" s="24"/>
      <c r="L104" s="24"/>
    </row>
    <row r="105" spans="2:12" ht="13" thickBot="1">
      <c r="B105" s="123">
        <f t="shared" si="5"/>
        <v>42104</v>
      </c>
      <c r="C105" s="124">
        <f t="shared" si="3"/>
        <v>15</v>
      </c>
      <c r="D105" s="124">
        <f t="shared" si="4"/>
        <v>4</v>
      </c>
      <c r="E105" s="198">
        <f>SUMIF('SORTIES 2015'!B70:B133,B105,'SORTIES 2015'!E70:E133)</f>
        <v>22</v>
      </c>
      <c r="F105" s="28" t="str">
        <f>CONCATENATE(SUMIF($C$6:$C105,C105,$E$6:$E$370)," / ",SUMIF($C$6:$C$370,C105,$E$6:$E$370))</f>
        <v>49 / 49</v>
      </c>
      <c r="G105" s="28" t="str">
        <f>CONCATENATE(SUMIF($D$6:$D105,D105,$E$6:$E$370)," / ",SUMIF($D$6:$D$370,D105,$E$6:$E$370))</f>
        <v>90 / 254</v>
      </c>
      <c r="H105" s="28" t="str">
        <f>CONCATENATE(SUM($E$6:$E105)," / ",SUM($E$6:$E$370))</f>
        <v>673 / 1280</v>
      </c>
      <c r="I105" s="209">
        <f>SUM($E$6:$E105)/(1+B105-B$6)</f>
        <v>6.73</v>
      </c>
      <c r="J105" s="24"/>
      <c r="K105" s="24"/>
      <c r="L105" s="24"/>
    </row>
    <row r="106" spans="2:12" ht="13" thickBot="1">
      <c r="B106" s="123">
        <f t="shared" si="5"/>
        <v>42105</v>
      </c>
      <c r="C106" s="124">
        <f t="shared" si="3"/>
        <v>15</v>
      </c>
      <c r="D106" s="124">
        <f t="shared" si="4"/>
        <v>4</v>
      </c>
      <c r="E106" s="198">
        <f>SUMIF('SORTIES 2015'!B71:B134,B106,'SORTIES 2015'!E71:E134)</f>
        <v>0</v>
      </c>
      <c r="F106" s="28" t="str">
        <f>CONCATENATE(SUMIF($C$6:$C106,C106,$E$6:$E$370)," / ",SUMIF($C$6:$C$370,C106,$E$6:$E$370))</f>
        <v>49 / 49</v>
      </c>
      <c r="G106" s="28" t="str">
        <f>CONCATENATE(SUMIF($D$6:$D106,D106,$E$6:$E$370)," / ",SUMIF($D$6:$D$370,D106,$E$6:$E$370))</f>
        <v>90 / 254</v>
      </c>
      <c r="H106" s="28" t="str">
        <f>CONCATENATE(SUM($E$6:$E106)," / ",SUM($E$6:$E$370))</f>
        <v>673 / 1280</v>
      </c>
      <c r="I106" s="209">
        <f>SUM($E$6:$E106)/(1+B106-B$6)</f>
        <v>6.6633663366336631</v>
      </c>
      <c r="J106" s="24"/>
      <c r="K106" s="24"/>
      <c r="L106" s="24"/>
    </row>
    <row r="107" spans="2:12" ht="13" thickBot="1">
      <c r="B107" s="123">
        <f t="shared" si="5"/>
        <v>42106</v>
      </c>
      <c r="C107" s="124">
        <f t="shared" si="3"/>
        <v>16</v>
      </c>
      <c r="D107" s="124">
        <f t="shared" si="4"/>
        <v>4</v>
      </c>
      <c r="E107" s="198">
        <f>SUMIF('SORTIES 2015'!B72:B135,B107,'SORTIES 2015'!E72:E135)</f>
        <v>9</v>
      </c>
      <c r="F107" s="28" t="str">
        <f>CONCATENATE(SUMIF($C$6:$C107,C107,$E$6:$E$370)," / ",SUMIF($C$6:$C$370,C107,$E$6:$E$370))</f>
        <v>9 / 69</v>
      </c>
      <c r="G107" s="28" t="str">
        <f>CONCATENATE(SUMIF($D$6:$D107,D107,$E$6:$E$370)," / ",SUMIF($D$6:$D$370,D107,$E$6:$E$370))</f>
        <v>99 / 254</v>
      </c>
      <c r="H107" s="28" t="str">
        <f>CONCATENATE(SUM($E$6:$E107)," / ",SUM($E$6:$E$370))</f>
        <v>682 / 1280</v>
      </c>
      <c r="I107" s="209">
        <f>SUM($E$6:$E107)/(1+B107-B$6)</f>
        <v>6.6862745098039218</v>
      </c>
      <c r="J107" s="24"/>
      <c r="K107" s="24"/>
      <c r="L107" s="24"/>
    </row>
    <row r="108" spans="2:12" ht="13" thickBot="1">
      <c r="B108" s="123">
        <f t="shared" si="5"/>
        <v>42107</v>
      </c>
      <c r="C108" s="124">
        <f t="shared" si="3"/>
        <v>16</v>
      </c>
      <c r="D108" s="124">
        <f t="shared" si="4"/>
        <v>4</v>
      </c>
      <c r="E108" s="198">
        <f>SUMIF('SORTIES 2015'!B73:B136,B108,'SORTIES 2015'!E73:E136)</f>
        <v>20</v>
      </c>
      <c r="F108" s="28" t="str">
        <f>CONCATENATE(SUMIF($C$6:$C108,C108,$E$6:$E$370)," / ",SUMIF($C$6:$C$370,C108,$E$6:$E$370))</f>
        <v>29 / 69</v>
      </c>
      <c r="G108" s="28" t="str">
        <f>CONCATENATE(SUMIF($D$6:$D108,D108,$E$6:$E$370)," / ",SUMIF($D$6:$D$370,D108,$E$6:$E$370))</f>
        <v>119 / 254</v>
      </c>
      <c r="H108" s="28" t="str">
        <f>CONCATENATE(SUM($E$6:$E108)," / ",SUM($E$6:$E$370))</f>
        <v>702 / 1280</v>
      </c>
      <c r="I108" s="209">
        <f>SUM($E$6:$E108)/(1+B108-B$6)</f>
        <v>6.8155339805825239</v>
      </c>
      <c r="J108" s="24"/>
      <c r="K108" s="24"/>
      <c r="L108" s="24"/>
    </row>
    <row r="109" spans="2:12" ht="13" thickBot="1">
      <c r="B109" s="123">
        <f t="shared" si="5"/>
        <v>42108</v>
      </c>
      <c r="C109" s="124">
        <f t="shared" si="3"/>
        <v>16</v>
      </c>
      <c r="D109" s="124">
        <f t="shared" si="4"/>
        <v>4</v>
      </c>
      <c r="E109" s="198">
        <f>SUMIF('SORTIES 2015'!B74:B137,B109,'SORTIES 2015'!E74:E137)</f>
        <v>10</v>
      </c>
      <c r="F109" s="28" t="str">
        <f>CONCATENATE(SUMIF($C$6:$C109,C109,$E$6:$E$370)," / ",SUMIF($C$6:$C$370,C109,$E$6:$E$370))</f>
        <v>39 / 69</v>
      </c>
      <c r="G109" s="28" t="str">
        <f>CONCATENATE(SUMIF($D$6:$D109,D109,$E$6:$E$370)," / ",SUMIF($D$6:$D$370,D109,$E$6:$E$370))</f>
        <v>129 / 254</v>
      </c>
      <c r="H109" s="28" t="str">
        <f>CONCATENATE(SUM($E$6:$E109)," / ",SUM($E$6:$E$370))</f>
        <v>712 / 1280</v>
      </c>
      <c r="I109" s="209">
        <f>SUM($E$6:$E109)/(1+B109-B$6)</f>
        <v>6.8461538461538458</v>
      </c>
      <c r="J109" s="24"/>
      <c r="K109" s="24"/>
      <c r="L109" s="24"/>
    </row>
    <row r="110" spans="2:12" ht="13" thickBot="1">
      <c r="B110" s="123">
        <f t="shared" si="5"/>
        <v>42109</v>
      </c>
      <c r="C110" s="124">
        <f t="shared" si="3"/>
        <v>16</v>
      </c>
      <c r="D110" s="124">
        <f t="shared" si="4"/>
        <v>4</v>
      </c>
      <c r="E110" s="198">
        <f>SUMIF('SORTIES 2015'!B75:B138,B110,'SORTIES 2015'!E75:E138)</f>
        <v>0</v>
      </c>
      <c r="F110" s="28" t="str">
        <f>CONCATENATE(SUMIF($C$6:$C110,C110,$E$6:$E$370)," / ",SUMIF($C$6:$C$370,C110,$E$6:$E$370))</f>
        <v>39 / 69</v>
      </c>
      <c r="G110" s="28" t="str">
        <f>CONCATENATE(SUMIF($D$6:$D110,D110,$E$6:$E$370)," / ",SUMIF($D$6:$D$370,D110,$E$6:$E$370))</f>
        <v>129 / 254</v>
      </c>
      <c r="H110" s="28" t="str">
        <f>CONCATENATE(SUM($E$6:$E110)," / ",SUM($E$6:$E$370))</f>
        <v>712 / 1280</v>
      </c>
      <c r="I110" s="209">
        <f>SUM($E$6:$E110)/(1+B110-B$6)</f>
        <v>6.7809523809523808</v>
      </c>
      <c r="J110" s="24"/>
      <c r="K110" s="24"/>
      <c r="L110" s="24"/>
    </row>
    <row r="111" spans="2:12" ht="13" thickBot="1">
      <c r="B111" s="123">
        <f t="shared" si="5"/>
        <v>42110</v>
      </c>
      <c r="C111" s="124">
        <f t="shared" si="3"/>
        <v>16</v>
      </c>
      <c r="D111" s="124">
        <f t="shared" si="4"/>
        <v>4</v>
      </c>
      <c r="E111" s="198">
        <f>SUMIF('SORTIES 2015'!B76:B139,B111,'SORTIES 2015'!E76:E139)</f>
        <v>30</v>
      </c>
      <c r="F111" s="28" t="str">
        <f>CONCATENATE(SUMIF($C$6:$C111,C111,$E$6:$E$370)," / ",SUMIF($C$6:$C$370,C111,$E$6:$E$370))</f>
        <v>69 / 69</v>
      </c>
      <c r="G111" s="28" t="str">
        <f>CONCATENATE(SUMIF($D$6:$D111,D111,$E$6:$E$370)," / ",SUMIF($D$6:$D$370,D111,$E$6:$E$370))</f>
        <v>159 / 254</v>
      </c>
      <c r="H111" s="28" t="str">
        <f>CONCATENATE(SUM($E$6:$E111)," / ",SUM($E$6:$E$370))</f>
        <v>742 / 1280</v>
      </c>
      <c r="I111" s="209">
        <f>SUM($E$6:$E111)/(1+B111-B$6)</f>
        <v>7</v>
      </c>
      <c r="J111" s="24"/>
      <c r="K111" s="24"/>
      <c r="L111" s="24"/>
    </row>
    <row r="112" spans="2:12" ht="13" thickBot="1">
      <c r="B112" s="123">
        <f t="shared" si="5"/>
        <v>42111</v>
      </c>
      <c r="C112" s="124">
        <f t="shared" si="3"/>
        <v>16</v>
      </c>
      <c r="D112" s="124">
        <f t="shared" si="4"/>
        <v>4</v>
      </c>
      <c r="E112" s="198">
        <f>SUMIF('SORTIES 2015'!B77:B140,B112,'SORTIES 2015'!E77:E140)</f>
        <v>0</v>
      </c>
      <c r="F112" s="28" t="str">
        <f>CONCATENATE(SUMIF($C$6:$C112,C112,$E$6:$E$370)," / ",SUMIF($C$6:$C$370,C112,$E$6:$E$370))</f>
        <v>69 / 69</v>
      </c>
      <c r="G112" s="28" t="str">
        <f>CONCATENATE(SUMIF($D$6:$D112,D112,$E$6:$E$370)," / ",SUMIF($D$6:$D$370,D112,$E$6:$E$370))</f>
        <v>159 / 254</v>
      </c>
      <c r="H112" s="28" t="str">
        <f>CONCATENATE(SUM($E$6:$E112)," / ",SUM($E$6:$E$370))</f>
        <v>742 / 1280</v>
      </c>
      <c r="I112" s="209">
        <f>SUM($E$6:$E112)/(1+B112-B$6)</f>
        <v>6.9345794392523361</v>
      </c>
      <c r="J112" s="24"/>
      <c r="K112" s="24"/>
      <c r="L112" s="24"/>
    </row>
    <row r="113" spans="2:12" ht="13" thickBot="1">
      <c r="B113" s="123">
        <f t="shared" si="5"/>
        <v>42112</v>
      </c>
      <c r="C113" s="124">
        <f t="shared" si="3"/>
        <v>16</v>
      </c>
      <c r="D113" s="124">
        <f t="shared" si="4"/>
        <v>4</v>
      </c>
      <c r="E113" s="198">
        <f>SUMIF('SORTIES 2015'!B78:B141,B113,'SORTIES 2015'!E78:E141)</f>
        <v>0</v>
      </c>
      <c r="F113" s="28" t="str">
        <f>CONCATENATE(SUMIF($C$6:$C113,C113,$E$6:$E$370)," / ",SUMIF($C$6:$C$370,C113,$E$6:$E$370))</f>
        <v>69 / 69</v>
      </c>
      <c r="G113" s="28" t="str">
        <f>CONCATENATE(SUMIF($D$6:$D113,D113,$E$6:$E$370)," / ",SUMIF($D$6:$D$370,D113,$E$6:$E$370))</f>
        <v>159 / 254</v>
      </c>
      <c r="H113" s="28" t="str">
        <f>CONCATENATE(SUM($E$6:$E113)," / ",SUM($E$6:$E$370))</f>
        <v>742 / 1280</v>
      </c>
      <c r="I113" s="209">
        <f>SUM($E$6:$E113)/(1+B113-B$6)</f>
        <v>6.8703703703703702</v>
      </c>
      <c r="J113" s="24"/>
      <c r="K113" s="24"/>
      <c r="L113" s="24"/>
    </row>
    <row r="114" spans="2:12" ht="13" thickBot="1">
      <c r="B114" s="123">
        <f t="shared" si="5"/>
        <v>42113</v>
      </c>
      <c r="C114" s="124">
        <f t="shared" si="3"/>
        <v>17</v>
      </c>
      <c r="D114" s="124">
        <f t="shared" si="4"/>
        <v>4</v>
      </c>
      <c r="E114" s="198">
        <f>SUMIF('SORTIES 2015'!B79:B142,B114,'SORTIES 2015'!E79:E142)</f>
        <v>0</v>
      </c>
      <c r="F114" s="28" t="str">
        <f>CONCATENATE(SUMIF($C$6:$C114,C114,$E$6:$E$370)," / ",SUMIF($C$6:$C$370,C114,$E$6:$E$370))</f>
        <v>0 / 25</v>
      </c>
      <c r="G114" s="28" t="str">
        <f>CONCATENATE(SUMIF($D$6:$D114,D114,$E$6:$E$370)," / ",SUMIF($D$6:$D$370,D114,$E$6:$E$370))</f>
        <v>159 / 254</v>
      </c>
      <c r="H114" s="28" t="str">
        <f>CONCATENATE(SUM($E$6:$E114)," / ",SUM($E$6:$E$370))</f>
        <v>742 / 1280</v>
      </c>
      <c r="I114" s="209">
        <f>SUM($E$6:$E114)/(1+B114-B$6)</f>
        <v>6.807339449541284</v>
      </c>
      <c r="J114" s="24"/>
      <c r="K114" s="24"/>
      <c r="L114" s="24"/>
    </row>
    <row r="115" spans="2:12" ht="13" thickBot="1">
      <c r="B115" s="123">
        <f t="shared" si="5"/>
        <v>42114</v>
      </c>
      <c r="C115" s="124">
        <f t="shared" si="3"/>
        <v>17</v>
      </c>
      <c r="D115" s="124">
        <f t="shared" si="4"/>
        <v>4</v>
      </c>
      <c r="E115" s="198">
        <f>SUMIF('SORTIES 2015'!B80:B143,B115,'SORTIES 2015'!E80:E143)</f>
        <v>0</v>
      </c>
      <c r="F115" s="28" t="str">
        <f>CONCATENATE(SUMIF($C$6:$C115,C115,$E$6:$E$370)," / ",SUMIF($C$6:$C$370,C115,$E$6:$E$370))</f>
        <v>0 / 25</v>
      </c>
      <c r="G115" s="28" t="str">
        <f>CONCATENATE(SUMIF($D$6:$D115,D115,$E$6:$E$370)," / ",SUMIF($D$6:$D$370,D115,$E$6:$E$370))</f>
        <v>159 / 254</v>
      </c>
      <c r="H115" s="28" t="str">
        <f>CONCATENATE(SUM($E$6:$E115)," / ",SUM($E$6:$E$370))</f>
        <v>742 / 1280</v>
      </c>
      <c r="I115" s="209">
        <f>SUM($E$6:$E115)/(1+B115-B$6)</f>
        <v>6.7454545454545451</v>
      </c>
      <c r="J115" s="24"/>
      <c r="K115" s="24"/>
      <c r="L115" s="24"/>
    </row>
    <row r="116" spans="2:12" ht="13" thickBot="1">
      <c r="B116" s="123">
        <f t="shared" si="5"/>
        <v>42115</v>
      </c>
      <c r="C116" s="124">
        <f t="shared" si="3"/>
        <v>17</v>
      </c>
      <c r="D116" s="124">
        <f t="shared" si="4"/>
        <v>4</v>
      </c>
      <c r="E116" s="198">
        <f>SUMIF('SORTIES 2015'!B81:B144,B116,'SORTIES 2015'!E81:E144)</f>
        <v>10</v>
      </c>
      <c r="F116" s="28" t="str">
        <f>CONCATENATE(SUMIF($C$6:$C116,C116,$E$6:$E$370)," / ",SUMIF($C$6:$C$370,C116,$E$6:$E$370))</f>
        <v>10 / 25</v>
      </c>
      <c r="G116" s="28" t="str">
        <f>CONCATENATE(SUMIF($D$6:$D116,D116,$E$6:$E$370)," / ",SUMIF($D$6:$D$370,D116,$E$6:$E$370))</f>
        <v>169 / 254</v>
      </c>
      <c r="H116" s="28" t="str">
        <f>CONCATENATE(SUM($E$6:$E116)," / ",SUM($E$6:$E$370))</f>
        <v>752 / 1280</v>
      </c>
      <c r="I116" s="209">
        <f>SUM($E$6:$E116)/(1+B116-B$6)</f>
        <v>6.7747747747747749</v>
      </c>
      <c r="J116" s="24"/>
      <c r="K116" s="24"/>
      <c r="L116" s="24"/>
    </row>
    <row r="117" spans="2:12" ht="13" thickBot="1">
      <c r="B117" s="123">
        <f t="shared" si="5"/>
        <v>42116</v>
      </c>
      <c r="C117" s="124">
        <f t="shared" si="3"/>
        <v>17</v>
      </c>
      <c r="D117" s="124">
        <f t="shared" si="4"/>
        <v>4</v>
      </c>
      <c r="E117" s="198">
        <f>SUMIF('SORTIES 2015'!B82:B145,B117,'SORTIES 2015'!E82:E145)</f>
        <v>0</v>
      </c>
      <c r="F117" s="28" t="str">
        <f>CONCATENATE(SUMIF($C$6:$C117,C117,$E$6:$E$370)," / ",SUMIF($C$6:$C$370,C117,$E$6:$E$370))</f>
        <v>10 / 25</v>
      </c>
      <c r="G117" s="28" t="str">
        <f>CONCATENATE(SUMIF($D$6:$D117,D117,$E$6:$E$370)," / ",SUMIF($D$6:$D$370,D117,$E$6:$E$370))</f>
        <v>169 / 254</v>
      </c>
      <c r="H117" s="28" t="str">
        <f>CONCATENATE(SUM($E$6:$E117)," / ",SUM($E$6:$E$370))</f>
        <v>752 / 1280</v>
      </c>
      <c r="I117" s="209">
        <f>SUM($E$6:$E117)/(1+B117-B$6)</f>
        <v>6.7142857142857144</v>
      </c>
      <c r="J117" s="24"/>
      <c r="K117" s="24"/>
      <c r="L117" s="24"/>
    </row>
    <row r="118" spans="2:12" ht="13" thickBot="1">
      <c r="B118" s="123">
        <f t="shared" si="5"/>
        <v>42117</v>
      </c>
      <c r="C118" s="124">
        <f t="shared" si="3"/>
        <v>17</v>
      </c>
      <c r="D118" s="124">
        <f t="shared" si="4"/>
        <v>4</v>
      </c>
      <c r="E118" s="198">
        <f>SUMIF('SORTIES 2015'!B83:B146,B118,'SORTIES 2015'!E83:E146)</f>
        <v>0</v>
      </c>
      <c r="F118" s="28" t="str">
        <f>CONCATENATE(SUMIF($C$6:$C118,C118,$E$6:$E$370)," / ",SUMIF($C$6:$C$370,C118,$E$6:$E$370))</f>
        <v>10 / 25</v>
      </c>
      <c r="G118" s="28" t="str">
        <f>CONCATENATE(SUMIF($D$6:$D118,D118,$E$6:$E$370)," / ",SUMIF($D$6:$D$370,D118,$E$6:$E$370))</f>
        <v>169 / 254</v>
      </c>
      <c r="H118" s="28" t="str">
        <f>CONCATENATE(SUM($E$6:$E118)," / ",SUM($E$6:$E$370))</f>
        <v>752 / 1280</v>
      </c>
      <c r="I118" s="209">
        <f>SUM($E$6:$E118)/(1+B118-B$6)</f>
        <v>6.6548672566371678</v>
      </c>
      <c r="J118" s="24"/>
      <c r="K118" s="24"/>
      <c r="L118" s="24"/>
    </row>
    <row r="119" spans="2:12" ht="13" thickBot="1">
      <c r="B119" s="123">
        <f t="shared" si="5"/>
        <v>42118</v>
      </c>
      <c r="C119" s="124">
        <f t="shared" si="3"/>
        <v>17</v>
      </c>
      <c r="D119" s="124">
        <f t="shared" si="4"/>
        <v>4</v>
      </c>
      <c r="E119" s="198">
        <f>SUMIF('SORTIES 2015'!B84:B147,B119,'SORTIES 2015'!E84:E147)</f>
        <v>15</v>
      </c>
      <c r="F119" s="28" t="str">
        <f>CONCATENATE(SUMIF($C$6:$C119,C119,$E$6:$E$370)," / ",SUMIF($C$6:$C$370,C119,$E$6:$E$370))</f>
        <v>25 / 25</v>
      </c>
      <c r="G119" s="28" t="str">
        <f>CONCATENATE(SUMIF($D$6:$D119,D119,$E$6:$E$370)," / ",SUMIF($D$6:$D$370,D119,$E$6:$E$370))</f>
        <v>184 / 254</v>
      </c>
      <c r="H119" s="28" t="str">
        <f>CONCATENATE(SUM($E$6:$E119)," / ",SUM($E$6:$E$370))</f>
        <v>767 / 1280</v>
      </c>
      <c r="I119" s="209">
        <f>SUM($E$6:$E119)/(1+B119-B$6)</f>
        <v>6.7280701754385968</v>
      </c>
      <c r="J119" s="24"/>
      <c r="K119" s="24"/>
      <c r="L119" s="24"/>
    </row>
    <row r="120" spans="2:12" ht="13" thickBot="1">
      <c r="B120" s="123">
        <f t="shared" si="5"/>
        <v>42119</v>
      </c>
      <c r="C120" s="124">
        <f t="shared" si="3"/>
        <v>17</v>
      </c>
      <c r="D120" s="124">
        <f t="shared" si="4"/>
        <v>4</v>
      </c>
      <c r="E120" s="198">
        <f>SUMIF('SORTIES 2015'!B85:B148,B120,'SORTIES 2015'!E85:E148)</f>
        <v>0</v>
      </c>
      <c r="F120" s="28" t="str">
        <f>CONCATENATE(SUMIF($C$6:$C120,C120,$E$6:$E$370)," / ",SUMIF($C$6:$C$370,C120,$E$6:$E$370))</f>
        <v>25 / 25</v>
      </c>
      <c r="G120" s="28" t="str">
        <f>CONCATENATE(SUMIF($D$6:$D120,D120,$E$6:$E$370)," / ",SUMIF($D$6:$D$370,D120,$E$6:$E$370))</f>
        <v>184 / 254</v>
      </c>
      <c r="H120" s="28" t="str">
        <f>CONCATENATE(SUM($E$6:$E120)," / ",SUM($E$6:$E$370))</f>
        <v>767 / 1280</v>
      </c>
      <c r="I120" s="209">
        <f>SUM($E$6:$E120)/(1+B120-B$6)</f>
        <v>6.6695652173913045</v>
      </c>
      <c r="J120" s="24"/>
      <c r="K120" s="24"/>
      <c r="L120" s="24"/>
    </row>
    <row r="121" spans="2:12" ht="13" thickBot="1">
      <c r="B121" s="123">
        <f t="shared" si="5"/>
        <v>42120</v>
      </c>
      <c r="C121" s="124">
        <f t="shared" si="3"/>
        <v>18</v>
      </c>
      <c r="D121" s="124">
        <f t="shared" si="4"/>
        <v>4</v>
      </c>
      <c r="E121" s="198">
        <f>SUMIF('SORTIES 2015'!B86:B149,B121,'SORTIES 2015'!E86:E149)</f>
        <v>10</v>
      </c>
      <c r="F121" s="28" t="str">
        <f>CONCATENATE(SUMIF($C$6:$C121,C121,$E$6:$E$370)," / ",SUMIF($C$6:$C$370,C121,$E$6:$E$370))</f>
        <v>10 / 78</v>
      </c>
      <c r="G121" s="28" t="str">
        <f>CONCATENATE(SUMIF($D$6:$D121,D121,$E$6:$E$370)," / ",SUMIF($D$6:$D$370,D121,$E$6:$E$370))</f>
        <v>194 / 254</v>
      </c>
      <c r="H121" s="28" t="str">
        <f>CONCATENATE(SUM($E$6:$E121)," / ",SUM($E$6:$E$370))</f>
        <v>777 / 1280</v>
      </c>
      <c r="I121" s="209">
        <f>SUM($E$6:$E121)/(1+B121-B$6)</f>
        <v>6.6982758620689653</v>
      </c>
      <c r="J121" s="24"/>
      <c r="K121" s="24"/>
      <c r="L121" s="24"/>
    </row>
    <row r="122" spans="2:12" ht="13" thickBot="1">
      <c r="B122" s="123">
        <f t="shared" si="5"/>
        <v>42121</v>
      </c>
      <c r="C122" s="124">
        <f t="shared" si="3"/>
        <v>18</v>
      </c>
      <c r="D122" s="124">
        <f t="shared" si="4"/>
        <v>4</v>
      </c>
      <c r="E122" s="198">
        <f>SUMIF('SORTIES 2015'!B87:B150,B122,'SORTIES 2015'!E87:E150)</f>
        <v>0</v>
      </c>
      <c r="F122" s="28" t="str">
        <f>CONCATENATE(SUMIF($C$6:$C122,C122,$E$6:$E$370)," / ",SUMIF($C$6:$C$370,C122,$E$6:$E$370))</f>
        <v>10 / 78</v>
      </c>
      <c r="G122" s="28" t="str">
        <f>CONCATENATE(SUMIF($D$6:$D122,D122,$E$6:$E$370)," / ",SUMIF($D$6:$D$370,D122,$E$6:$E$370))</f>
        <v>194 / 254</v>
      </c>
      <c r="H122" s="28" t="str">
        <f>CONCATENATE(SUM($E$6:$E122)," / ",SUM($E$6:$E$370))</f>
        <v>777 / 1280</v>
      </c>
      <c r="I122" s="209">
        <f>SUM($E$6:$E122)/(1+B122-B$6)</f>
        <v>6.6410256410256414</v>
      </c>
      <c r="J122" s="24"/>
      <c r="K122" s="24"/>
      <c r="L122" s="24"/>
    </row>
    <row r="123" spans="2:12" ht="13" thickBot="1">
      <c r="B123" s="123">
        <f t="shared" si="5"/>
        <v>42122</v>
      </c>
      <c r="C123" s="124">
        <f t="shared" si="3"/>
        <v>18</v>
      </c>
      <c r="D123" s="124">
        <f t="shared" si="4"/>
        <v>4</v>
      </c>
      <c r="E123" s="198">
        <f>SUMIF('SORTIES 2015'!B88:B151,B123,'SORTIES 2015'!E88:E151)</f>
        <v>16</v>
      </c>
      <c r="F123" s="28" t="str">
        <f>CONCATENATE(SUMIF($C$6:$C123,C123,$E$6:$E$370)," / ",SUMIF($C$6:$C$370,C123,$E$6:$E$370))</f>
        <v>26 / 78</v>
      </c>
      <c r="G123" s="28" t="str">
        <f>CONCATENATE(SUMIF($D$6:$D123,D123,$E$6:$E$370)," / ",SUMIF($D$6:$D$370,D123,$E$6:$E$370))</f>
        <v>210 / 254</v>
      </c>
      <c r="H123" s="28" t="str">
        <f>CONCATENATE(SUM($E$6:$E123)," / ",SUM($E$6:$E$370))</f>
        <v>793 / 1280</v>
      </c>
      <c r="I123" s="209">
        <f>SUM($E$6:$E123)/(1+B123-B$6)</f>
        <v>6.7203389830508478</v>
      </c>
      <c r="J123" s="24"/>
      <c r="K123" s="24"/>
      <c r="L123" s="24"/>
    </row>
    <row r="124" spans="2:12" ht="13" thickBot="1">
      <c r="B124" s="123">
        <f t="shared" si="5"/>
        <v>42123</v>
      </c>
      <c r="C124" s="124">
        <f t="shared" si="3"/>
        <v>18</v>
      </c>
      <c r="D124" s="124">
        <f t="shared" si="4"/>
        <v>4</v>
      </c>
      <c r="E124" s="198">
        <f>SUMIF('SORTIES 2015'!B89:B152,B124,'SORTIES 2015'!E89:E152)</f>
        <v>20</v>
      </c>
      <c r="F124" s="28" t="str">
        <f>CONCATENATE(SUMIF($C$6:$C124,C124,$E$6:$E$370)," / ",SUMIF($C$6:$C$370,C124,$E$6:$E$370))</f>
        <v>46 / 78</v>
      </c>
      <c r="G124" s="28" t="str">
        <f>CONCATENATE(SUMIF($D$6:$D124,D124,$E$6:$E$370)," / ",SUMIF($D$6:$D$370,D124,$E$6:$E$370))</f>
        <v>230 / 254</v>
      </c>
      <c r="H124" s="28" t="str">
        <f>CONCATENATE(SUM($E$6:$E124)," / ",SUM($E$6:$E$370))</f>
        <v>813 / 1280</v>
      </c>
      <c r="I124" s="209">
        <f>SUM($E$6:$E124)/(1+B124-B$6)</f>
        <v>6.8319327731092434</v>
      </c>
      <c r="J124" s="24"/>
      <c r="K124" s="24"/>
      <c r="L124" s="24"/>
    </row>
    <row r="125" spans="2:12" ht="13" thickBot="1">
      <c r="B125" s="123">
        <f t="shared" si="5"/>
        <v>42124</v>
      </c>
      <c r="C125" s="124">
        <f t="shared" si="3"/>
        <v>18</v>
      </c>
      <c r="D125" s="124">
        <f t="shared" si="4"/>
        <v>4</v>
      </c>
      <c r="E125" s="198">
        <f>SUMIF('SORTIES 2015'!B90:B153,B125,'SORTIES 2015'!E90:E153)</f>
        <v>24</v>
      </c>
      <c r="F125" s="28" t="str">
        <f>CONCATENATE(SUMIF($C$6:$C125,C125,$E$6:$E$370)," / ",SUMIF($C$6:$C$370,C125,$E$6:$E$370))</f>
        <v>70 / 78</v>
      </c>
      <c r="G125" s="28" t="str">
        <f>CONCATENATE(SUMIF($D$6:$D125,D125,$E$6:$E$370)," / ",SUMIF($D$6:$D$370,D125,$E$6:$E$370))</f>
        <v>254 / 254</v>
      </c>
      <c r="H125" s="28" t="str">
        <f>CONCATENATE(SUM($E$6:$E125)," / ",SUM($E$6:$E$370))</f>
        <v>837 / 1280</v>
      </c>
      <c r="I125" s="209">
        <f>SUM($E$6:$E125)/(1+B125-B$6)</f>
        <v>6.9749999999999996</v>
      </c>
      <c r="J125" s="24"/>
      <c r="K125" s="24"/>
      <c r="L125" s="24"/>
    </row>
    <row r="126" spans="2:12" ht="13" thickBot="1">
      <c r="B126" s="123">
        <f t="shared" si="5"/>
        <v>42125</v>
      </c>
      <c r="C126" s="124">
        <f t="shared" si="3"/>
        <v>18</v>
      </c>
      <c r="D126" s="124">
        <f t="shared" si="4"/>
        <v>5</v>
      </c>
      <c r="E126" s="198">
        <f>SUMIF('SORTIES 2015'!B91:B154,B126,'SORTIES 2015'!E91:E154)</f>
        <v>0</v>
      </c>
      <c r="F126" s="28" t="str">
        <f>CONCATENATE(SUMIF($C$6:$C126,C126,$E$6:$E$370)," / ",SUMIF($C$6:$C$370,C126,$E$6:$E$370))</f>
        <v>70 / 78</v>
      </c>
      <c r="G126" s="28" t="str">
        <f>CONCATENATE(SUMIF($D$6:$D126,D126,$E$6:$E$370)," / ",SUMIF($D$6:$D$370,D126,$E$6:$E$370))</f>
        <v>0 / 213</v>
      </c>
      <c r="H126" s="28" t="str">
        <f>CONCATENATE(SUM($E$6:$E126)," / ",SUM($E$6:$E$370))</f>
        <v>837 / 1280</v>
      </c>
      <c r="I126" s="209">
        <f>SUM($E$6:$E126)/(1+B126-B$6)</f>
        <v>6.9173553719008263</v>
      </c>
      <c r="J126" s="24"/>
      <c r="K126" s="24"/>
      <c r="L126" s="24"/>
    </row>
    <row r="127" spans="2:12" ht="13" thickBot="1">
      <c r="B127" s="123">
        <f t="shared" si="5"/>
        <v>42126</v>
      </c>
      <c r="C127" s="124">
        <f t="shared" si="3"/>
        <v>18</v>
      </c>
      <c r="D127" s="124">
        <f t="shared" si="4"/>
        <v>5</v>
      </c>
      <c r="E127" s="198">
        <f>SUMIF('SORTIES 2015'!B92:B155,B127,'SORTIES 2015'!E92:E155)</f>
        <v>8</v>
      </c>
      <c r="F127" s="28" t="str">
        <f>CONCATENATE(SUMIF($C$6:$C127,C127,$E$6:$E$370)," / ",SUMIF($C$6:$C$370,C127,$E$6:$E$370))</f>
        <v>78 / 78</v>
      </c>
      <c r="G127" s="28" t="str">
        <f>CONCATENATE(SUMIF($D$6:$D127,D127,$E$6:$E$370)," / ",SUMIF($D$6:$D$370,D127,$E$6:$E$370))</f>
        <v>8 / 213</v>
      </c>
      <c r="H127" s="28" t="str">
        <f>CONCATENATE(SUM($E$6:$E127)," / ",SUM($E$6:$E$370))</f>
        <v>845 / 1280</v>
      </c>
      <c r="I127" s="209">
        <f>SUM($E$6:$E127)/(1+B127-B$6)</f>
        <v>6.9262295081967213</v>
      </c>
      <c r="J127" s="24"/>
      <c r="K127" s="24"/>
      <c r="L127" s="24"/>
    </row>
    <row r="128" spans="2:12" ht="13" thickBot="1">
      <c r="B128" s="123">
        <f t="shared" si="5"/>
        <v>42127</v>
      </c>
      <c r="C128" s="124">
        <f t="shared" si="3"/>
        <v>19</v>
      </c>
      <c r="D128" s="124">
        <f t="shared" si="4"/>
        <v>5</v>
      </c>
      <c r="E128" s="198">
        <f>SUMIF('SORTIES 2015'!B93:B156,B128,'SORTIES 2015'!E93:E156)</f>
        <v>24</v>
      </c>
      <c r="F128" s="28" t="str">
        <f>CONCATENATE(SUMIF($C$6:$C128,C128,$E$6:$E$370)," / ",SUMIF($C$6:$C$370,C128,$E$6:$E$370))</f>
        <v>24 / 107</v>
      </c>
      <c r="G128" s="28" t="str">
        <f>CONCATENATE(SUMIF($D$6:$D128,D128,$E$6:$E$370)," / ",SUMIF($D$6:$D$370,D128,$E$6:$E$370))</f>
        <v>32 / 213</v>
      </c>
      <c r="H128" s="28" t="str">
        <f>CONCATENATE(SUM($E$6:$E128)," / ",SUM($E$6:$E$370))</f>
        <v>869 / 1280</v>
      </c>
      <c r="I128" s="209">
        <f>SUM($E$6:$E128)/(1+B128-B$6)</f>
        <v>7.0650406504065044</v>
      </c>
      <c r="J128" s="24"/>
      <c r="K128" s="24"/>
      <c r="L128" s="24"/>
    </row>
    <row r="129" spans="2:12" ht="13" thickBot="1">
      <c r="B129" s="123">
        <f t="shared" si="5"/>
        <v>42128</v>
      </c>
      <c r="C129" s="124">
        <f t="shared" si="3"/>
        <v>19</v>
      </c>
      <c r="D129" s="124">
        <f t="shared" si="4"/>
        <v>5</v>
      </c>
      <c r="E129" s="198">
        <f>SUMIF('SORTIES 2015'!B94:B157,B129,'SORTIES 2015'!E94:E157)</f>
        <v>24</v>
      </c>
      <c r="F129" s="28" t="str">
        <f>CONCATENATE(SUMIF($C$6:$C129,C129,$E$6:$E$370)," / ",SUMIF($C$6:$C$370,C129,$E$6:$E$370))</f>
        <v>48 / 107</v>
      </c>
      <c r="G129" s="28" t="str">
        <f>CONCATENATE(SUMIF($D$6:$D129,D129,$E$6:$E$370)," / ",SUMIF($D$6:$D$370,D129,$E$6:$E$370))</f>
        <v>56 / 213</v>
      </c>
      <c r="H129" s="28" t="str">
        <f>CONCATENATE(SUM($E$6:$E129)," / ",SUM($E$6:$E$370))</f>
        <v>893 / 1280</v>
      </c>
      <c r="I129" s="209">
        <f>SUM($E$6:$E129)/(1+B129-B$6)</f>
        <v>7.2016129032258061</v>
      </c>
      <c r="J129" s="24"/>
      <c r="K129" s="24"/>
      <c r="L129" s="24"/>
    </row>
    <row r="130" spans="2:12" ht="13" thickBot="1">
      <c r="B130" s="123">
        <f t="shared" si="5"/>
        <v>42129</v>
      </c>
      <c r="C130" s="124">
        <f t="shared" si="3"/>
        <v>19</v>
      </c>
      <c r="D130" s="124">
        <f t="shared" si="4"/>
        <v>5</v>
      </c>
      <c r="E130" s="198">
        <f>SUMIF('SORTIES 2015'!B95:B158,B130,'SORTIES 2015'!E95:E158)</f>
        <v>12</v>
      </c>
      <c r="F130" s="28" t="str">
        <f>CONCATENATE(SUMIF($C$6:$C130,C130,$E$6:$E$370)," / ",SUMIF($C$6:$C$370,C130,$E$6:$E$370))</f>
        <v>60 / 107</v>
      </c>
      <c r="G130" s="28" t="str">
        <f>CONCATENATE(SUMIF($D$6:$D130,D130,$E$6:$E$370)," / ",SUMIF($D$6:$D$370,D130,$E$6:$E$370))</f>
        <v>68 / 213</v>
      </c>
      <c r="H130" s="28" t="str">
        <f>CONCATENATE(SUM($E$6:$E130)," / ",SUM($E$6:$E$370))</f>
        <v>905 / 1280</v>
      </c>
      <c r="I130" s="209">
        <f>SUM($E$6:$E130)/(1+B130-B$6)</f>
        <v>7.24</v>
      </c>
      <c r="J130" s="24"/>
      <c r="K130" s="24"/>
      <c r="L130" s="24"/>
    </row>
    <row r="131" spans="2:12" ht="13" thickBot="1">
      <c r="B131" s="123">
        <f t="shared" si="5"/>
        <v>42130</v>
      </c>
      <c r="C131" s="124">
        <f t="shared" si="3"/>
        <v>19</v>
      </c>
      <c r="D131" s="124">
        <f t="shared" si="4"/>
        <v>5</v>
      </c>
      <c r="E131" s="198">
        <f>SUMIF('SORTIES 2015'!B96:B159,B131,'SORTIES 2015'!E96:E159)</f>
        <v>24</v>
      </c>
      <c r="F131" s="28" t="str">
        <f>CONCATENATE(SUMIF($C$6:$C131,C131,$E$6:$E$370)," / ",SUMIF($C$6:$C$370,C131,$E$6:$E$370))</f>
        <v>84 / 107</v>
      </c>
      <c r="G131" s="28" t="str">
        <f>CONCATENATE(SUMIF($D$6:$D131,D131,$E$6:$E$370)," / ",SUMIF($D$6:$D$370,D131,$E$6:$E$370))</f>
        <v>92 / 213</v>
      </c>
      <c r="H131" s="28" t="str">
        <f>CONCATENATE(SUM($E$6:$E131)," / ",SUM($E$6:$E$370))</f>
        <v>929 / 1280</v>
      </c>
      <c r="I131" s="209">
        <f>SUM($E$6:$E131)/(1+B131-B$6)</f>
        <v>7.3730158730158726</v>
      </c>
      <c r="J131" s="24"/>
      <c r="K131" s="24"/>
      <c r="L131" s="24"/>
    </row>
    <row r="132" spans="2:12" ht="13" thickBot="1">
      <c r="B132" s="123">
        <f t="shared" si="5"/>
        <v>42131</v>
      </c>
      <c r="C132" s="124">
        <f t="shared" si="3"/>
        <v>19</v>
      </c>
      <c r="D132" s="124">
        <f t="shared" si="4"/>
        <v>5</v>
      </c>
      <c r="E132" s="198">
        <f>SUMIF('SORTIES 2015'!B97:B160,B132,'SORTIES 2015'!E97:E160)</f>
        <v>0</v>
      </c>
      <c r="F132" s="28" t="str">
        <f>CONCATENATE(SUMIF($C$6:$C132,C132,$E$6:$E$370)," / ",SUMIF($C$6:$C$370,C132,$E$6:$E$370))</f>
        <v>84 / 107</v>
      </c>
      <c r="G132" s="28" t="str">
        <f>CONCATENATE(SUMIF($D$6:$D132,D132,$E$6:$E$370)," / ",SUMIF($D$6:$D$370,D132,$E$6:$E$370))</f>
        <v>92 / 213</v>
      </c>
      <c r="H132" s="28" t="str">
        <f>CONCATENATE(SUM($E$6:$E132)," / ",SUM($E$6:$E$370))</f>
        <v>929 / 1280</v>
      </c>
      <c r="I132" s="209">
        <f>SUM($E$6:$E132)/(1+B132-B$6)</f>
        <v>7.3149606299212602</v>
      </c>
      <c r="J132" s="24"/>
      <c r="K132" s="24"/>
      <c r="L132" s="24"/>
    </row>
    <row r="133" spans="2:12" ht="13" thickBot="1">
      <c r="B133" s="123">
        <f t="shared" si="5"/>
        <v>42132</v>
      </c>
      <c r="C133" s="124">
        <f t="shared" si="3"/>
        <v>19</v>
      </c>
      <c r="D133" s="124">
        <f t="shared" si="4"/>
        <v>5</v>
      </c>
      <c r="E133" s="198">
        <f>SUMIF('SORTIES 2015'!B98:B161,B133,'SORTIES 2015'!E98:E161)</f>
        <v>0</v>
      </c>
      <c r="F133" s="28" t="str">
        <f>CONCATENATE(SUMIF($C$6:$C133,C133,$E$6:$E$370)," / ",SUMIF($C$6:$C$370,C133,$E$6:$E$370))</f>
        <v>84 / 107</v>
      </c>
      <c r="G133" s="28" t="str">
        <f>CONCATENATE(SUMIF($D$6:$D133,D133,$E$6:$E$370)," / ",SUMIF($D$6:$D$370,D133,$E$6:$E$370))</f>
        <v>92 / 213</v>
      </c>
      <c r="H133" s="28" t="str">
        <f>CONCATENATE(SUM($E$6:$E133)," / ",SUM($E$6:$E$370))</f>
        <v>929 / 1280</v>
      </c>
      <c r="I133" s="209">
        <f>SUM($E$6:$E133)/(1+B133-B$6)</f>
        <v>7.2578125</v>
      </c>
      <c r="J133" s="24"/>
      <c r="K133" s="24"/>
      <c r="L133" s="24"/>
    </row>
    <row r="134" spans="2:12" ht="13" thickBot="1">
      <c r="B134" s="123">
        <f t="shared" si="5"/>
        <v>42133</v>
      </c>
      <c r="C134" s="124">
        <f t="shared" si="3"/>
        <v>19</v>
      </c>
      <c r="D134" s="124">
        <f t="shared" si="4"/>
        <v>5</v>
      </c>
      <c r="E134" s="198">
        <f>SUMIF('SORTIES 2015'!B99:B162,B134,'SORTIES 2015'!E99:E162)</f>
        <v>23</v>
      </c>
      <c r="F134" s="28" t="str">
        <f>CONCATENATE(SUMIF($C$6:$C134,C134,$E$6:$E$370)," / ",SUMIF($C$6:$C$370,C134,$E$6:$E$370))</f>
        <v>107 / 107</v>
      </c>
      <c r="G134" s="28" t="str">
        <f>CONCATENATE(SUMIF($D$6:$D134,D134,$E$6:$E$370)," / ",SUMIF($D$6:$D$370,D134,$E$6:$E$370))</f>
        <v>115 / 213</v>
      </c>
      <c r="H134" s="28" t="str">
        <f>CONCATENATE(SUM($E$6:$E134)," / ",SUM($E$6:$E$370))</f>
        <v>952 / 1280</v>
      </c>
      <c r="I134" s="209">
        <f>SUM($E$6:$E134)/(1+B134-B$6)</f>
        <v>7.3798449612403099</v>
      </c>
      <c r="J134" s="24"/>
      <c r="K134" s="24"/>
      <c r="L134" s="24"/>
    </row>
    <row r="135" spans="2:12" ht="13" thickBot="1">
      <c r="B135" s="123">
        <f t="shared" si="5"/>
        <v>42134</v>
      </c>
      <c r="C135" s="124">
        <f t="shared" ref="C135:C198" si="6">WEEKNUM($B135)</f>
        <v>20</v>
      </c>
      <c r="D135" s="124">
        <f t="shared" ref="D135:D198" si="7">MONTH(B135)</f>
        <v>5</v>
      </c>
      <c r="E135" s="198">
        <f>SUMIF('SORTIES 2015'!B100:B163,B135,'SORTIES 2015'!E100:E163)</f>
        <v>0</v>
      </c>
      <c r="F135" s="28" t="str">
        <f>CONCATENATE(SUMIF($C$6:$C135,C135,$E$6:$E$370)," / ",SUMIF($C$6:$C$370,C135,$E$6:$E$370))</f>
        <v>0 / 64</v>
      </c>
      <c r="G135" s="28" t="str">
        <f>CONCATENATE(SUMIF($D$6:$D135,D135,$E$6:$E$370)," / ",SUMIF($D$6:$D$370,D135,$E$6:$E$370))</f>
        <v>115 / 213</v>
      </c>
      <c r="H135" s="28" t="str">
        <f>CONCATENATE(SUM($E$6:$E135)," / ",SUM($E$6:$E$370))</f>
        <v>952 / 1280</v>
      </c>
      <c r="I135" s="209">
        <f>SUM($E$6:$E135)/(1+B135-B$6)</f>
        <v>7.3230769230769228</v>
      </c>
      <c r="J135" s="24"/>
      <c r="K135" s="24"/>
      <c r="L135" s="24"/>
    </row>
    <row r="136" spans="2:12" ht="13" thickBot="1">
      <c r="B136" s="123">
        <f t="shared" ref="B136:B199" si="8">B135+1</f>
        <v>42135</v>
      </c>
      <c r="C136" s="124">
        <f t="shared" si="6"/>
        <v>20</v>
      </c>
      <c r="D136" s="124">
        <f t="shared" si="7"/>
        <v>5</v>
      </c>
      <c r="E136" s="198">
        <f>SUMIF('SORTIES 2015'!B101:B164,B136,'SORTIES 2015'!E101:E164)</f>
        <v>5</v>
      </c>
      <c r="F136" s="28" t="str">
        <f>CONCATENATE(SUMIF($C$6:$C136,C136,$E$6:$E$370)," / ",SUMIF($C$6:$C$370,C136,$E$6:$E$370))</f>
        <v>5 / 64</v>
      </c>
      <c r="G136" s="28" t="str">
        <f>CONCATENATE(SUMIF($D$6:$D136,D136,$E$6:$E$370)," / ",SUMIF($D$6:$D$370,D136,$E$6:$E$370))</f>
        <v>120 / 213</v>
      </c>
      <c r="H136" s="28" t="str">
        <f>CONCATENATE(SUM($E$6:$E136)," / ",SUM($E$6:$E$370))</f>
        <v>957 / 1280</v>
      </c>
      <c r="I136" s="209">
        <f>SUM($E$6:$E136)/(1+B136-B$6)</f>
        <v>7.3053435114503813</v>
      </c>
      <c r="J136" s="24"/>
      <c r="K136" s="24"/>
      <c r="L136" s="24"/>
    </row>
    <row r="137" spans="2:12" ht="13" thickBot="1">
      <c r="B137" s="123">
        <f t="shared" si="8"/>
        <v>42136</v>
      </c>
      <c r="C137" s="124">
        <f t="shared" si="6"/>
        <v>20</v>
      </c>
      <c r="D137" s="124">
        <f t="shared" si="7"/>
        <v>5</v>
      </c>
      <c r="E137" s="198">
        <f>SUMIF('SORTIES 2015'!B102:B165,B137,'SORTIES 2015'!E102:E165)</f>
        <v>24</v>
      </c>
      <c r="F137" s="28" t="str">
        <f>CONCATENATE(SUMIF($C$6:$C137,C137,$E$6:$E$370)," / ",SUMIF($C$6:$C$370,C137,$E$6:$E$370))</f>
        <v>29 / 64</v>
      </c>
      <c r="G137" s="28" t="str">
        <f>CONCATENATE(SUMIF($D$6:$D137,D137,$E$6:$E$370)," / ",SUMIF($D$6:$D$370,D137,$E$6:$E$370))</f>
        <v>144 / 213</v>
      </c>
      <c r="H137" s="28" t="str">
        <f>CONCATENATE(SUM($E$6:$E137)," / ",SUM($E$6:$E$370))</f>
        <v>981 / 1280</v>
      </c>
      <c r="I137" s="209">
        <f>SUM($E$6:$E137)/(1+B137-B$6)</f>
        <v>7.4318181818181817</v>
      </c>
      <c r="J137" s="24"/>
      <c r="K137" s="24"/>
      <c r="L137" s="24"/>
    </row>
    <row r="138" spans="2:12" ht="13" thickBot="1">
      <c r="B138" s="123">
        <f t="shared" si="8"/>
        <v>42137</v>
      </c>
      <c r="C138" s="124">
        <f t="shared" si="6"/>
        <v>20</v>
      </c>
      <c r="D138" s="124">
        <f t="shared" si="7"/>
        <v>5</v>
      </c>
      <c r="E138" s="198">
        <f>SUMIF('SORTIES 2015'!B103:B166,B138,'SORTIES 2015'!E103:E166)</f>
        <v>0</v>
      </c>
      <c r="F138" s="28" t="str">
        <f>CONCATENATE(SUMIF($C$6:$C138,C138,$E$6:$E$370)," / ",SUMIF($C$6:$C$370,C138,$E$6:$E$370))</f>
        <v>29 / 64</v>
      </c>
      <c r="G138" s="28" t="str">
        <f>CONCATENATE(SUMIF($D$6:$D138,D138,$E$6:$E$370)," / ",SUMIF($D$6:$D$370,D138,$E$6:$E$370))</f>
        <v>144 / 213</v>
      </c>
      <c r="H138" s="28" t="str">
        <f>CONCATENATE(SUM($E$6:$E138)," / ",SUM($E$6:$E$370))</f>
        <v>981 / 1280</v>
      </c>
      <c r="I138" s="209">
        <f>SUM($E$6:$E138)/(1+B138-B$6)</f>
        <v>7.3759398496240598</v>
      </c>
      <c r="J138" s="24"/>
      <c r="K138" s="24"/>
      <c r="L138" s="24"/>
    </row>
    <row r="139" spans="2:12" ht="13" thickBot="1">
      <c r="B139" s="123">
        <f t="shared" si="8"/>
        <v>42138</v>
      </c>
      <c r="C139" s="124">
        <f t="shared" si="6"/>
        <v>20</v>
      </c>
      <c r="D139" s="124">
        <f t="shared" si="7"/>
        <v>5</v>
      </c>
      <c r="E139" s="198">
        <f>SUMIF('SORTIES 2015'!B104:B167,B139,'SORTIES 2015'!E104:E167)</f>
        <v>22</v>
      </c>
      <c r="F139" s="28" t="str">
        <f>CONCATENATE(SUMIF($C$6:$C139,C139,$E$6:$E$370)," / ",SUMIF($C$6:$C$370,C139,$E$6:$E$370))</f>
        <v>51 / 64</v>
      </c>
      <c r="G139" s="28" t="str">
        <f>CONCATENATE(SUMIF($D$6:$D139,D139,$E$6:$E$370)," / ",SUMIF($D$6:$D$370,D139,$E$6:$E$370))</f>
        <v>166 / 213</v>
      </c>
      <c r="H139" s="28" t="str">
        <f>CONCATENATE(SUM($E$6:$E139)," / ",SUM($E$6:$E$370))</f>
        <v>1003 / 1280</v>
      </c>
      <c r="I139" s="209">
        <f>SUM($E$6:$E139)/(1+B139-B$6)</f>
        <v>7.4850746268656714</v>
      </c>
      <c r="J139" s="24"/>
      <c r="K139" s="24"/>
      <c r="L139" s="24"/>
    </row>
    <row r="140" spans="2:12" ht="13" thickBot="1">
      <c r="B140" s="123">
        <f t="shared" si="8"/>
        <v>42139</v>
      </c>
      <c r="C140" s="124">
        <f t="shared" si="6"/>
        <v>20</v>
      </c>
      <c r="D140" s="124">
        <f t="shared" si="7"/>
        <v>5</v>
      </c>
      <c r="E140" s="198">
        <f>SUMIF('SORTIES 2015'!B105:B168,B140,'SORTIES 2015'!E105:E168)</f>
        <v>0</v>
      </c>
      <c r="F140" s="28" t="str">
        <f>CONCATENATE(SUMIF($C$6:$C140,C140,$E$6:$E$370)," / ",SUMIF($C$6:$C$370,C140,$E$6:$E$370))</f>
        <v>51 / 64</v>
      </c>
      <c r="G140" s="28" t="str">
        <f>CONCATENATE(SUMIF($D$6:$D140,D140,$E$6:$E$370)," / ",SUMIF($D$6:$D$370,D140,$E$6:$E$370))</f>
        <v>166 / 213</v>
      </c>
      <c r="H140" s="28" t="str">
        <f>CONCATENATE(SUM($E$6:$E140)," / ",SUM($E$6:$E$370))</f>
        <v>1003 / 1280</v>
      </c>
      <c r="I140" s="209">
        <f>SUM($E$6:$E140)/(1+B140-B$6)</f>
        <v>7.4296296296296296</v>
      </c>
      <c r="J140" s="24"/>
      <c r="K140" s="24"/>
      <c r="L140" s="24"/>
    </row>
    <row r="141" spans="2:12" ht="13" thickBot="1">
      <c r="B141" s="123">
        <f t="shared" si="8"/>
        <v>42140</v>
      </c>
      <c r="C141" s="124">
        <f t="shared" si="6"/>
        <v>20</v>
      </c>
      <c r="D141" s="124">
        <f t="shared" si="7"/>
        <v>5</v>
      </c>
      <c r="E141" s="198">
        <f>SUMIF('SORTIES 2015'!B106:B169,B141,'SORTIES 2015'!E106:E169)</f>
        <v>13</v>
      </c>
      <c r="F141" s="28" t="str">
        <f>CONCATENATE(SUMIF($C$6:$C141,C141,$E$6:$E$370)," / ",SUMIF($C$6:$C$370,C141,$E$6:$E$370))</f>
        <v>64 / 64</v>
      </c>
      <c r="G141" s="28" t="str">
        <f>CONCATENATE(SUMIF($D$6:$D141,D141,$E$6:$E$370)," / ",SUMIF($D$6:$D$370,D141,$E$6:$E$370))</f>
        <v>179 / 213</v>
      </c>
      <c r="H141" s="28" t="str">
        <f>CONCATENATE(SUM($E$6:$E141)," / ",SUM($E$6:$E$370))</f>
        <v>1016 / 1280</v>
      </c>
      <c r="I141" s="209">
        <f>SUM($E$6:$E141)/(1+B141-B$6)</f>
        <v>7.4705882352941178</v>
      </c>
      <c r="J141" s="24"/>
      <c r="K141" s="24"/>
      <c r="L141" s="24"/>
    </row>
    <row r="142" spans="2:12" ht="13" thickBot="1">
      <c r="B142" s="123">
        <f t="shared" si="8"/>
        <v>42141</v>
      </c>
      <c r="C142" s="124">
        <f t="shared" si="6"/>
        <v>21</v>
      </c>
      <c r="D142" s="124">
        <f t="shared" si="7"/>
        <v>5</v>
      </c>
      <c r="E142" s="198">
        <f>SUMIF('SORTIES 2015'!B107:B170,B142,'SORTIES 2015'!E107:E170)</f>
        <v>0</v>
      </c>
      <c r="F142" s="28" t="str">
        <f>CONCATENATE(SUMIF($C$6:$C142,C142,$E$6:$E$370)," / ",SUMIF($C$6:$C$370,C142,$E$6:$E$370))</f>
        <v>0 / 14</v>
      </c>
      <c r="G142" s="28" t="str">
        <f>CONCATENATE(SUMIF($D$6:$D142,D142,$E$6:$E$370)," / ",SUMIF($D$6:$D$370,D142,$E$6:$E$370))</f>
        <v>179 / 213</v>
      </c>
      <c r="H142" s="28" t="str">
        <f>CONCATENATE(SUM($E$6:$E142)," / ",SUM($E$6:$E$370))</f>
        <v>1016 / 1280</v>
      </c>
      <c r="I142" s="209">
        <f>SUM($E$6:$E142)/(1+B142-B$6)</f>
        <v>7.4160583941605838</v>
      </c>
      <c r="J142" s="24"/>
      <c r="K142" s="24"/>
      <c r="L142" s="24"/>
    </row>
    <row r="143" spans="2:12" ht="13" thickBot="1">
      <c r="B143" s="123">
        <f t="shared" si="8"/>
        <v>42142</v>
      </c>
      <c r="C143" s="124">
        <f t="shared" si="6"/>
        <v>21</v>
      </c>
      <c r="D143" s="124">
        <f t="shared" si="7"/>
        <v>5</v>
      </c>
      <c r="E143" s="198">
        <f>SUMIF('SORTIES 2015'!B108:B171,B143,'SORTIES 2015'!E108:E171)</f>
        <v>0</v>
      </c>
      <c r="F143" s="28" t="str">
        <f>CONCATENATE(SUMIF($C$6:$C143,C143,$E$6:$E$370)," / ",SUMIF($C$6:$C$370,C143,$E$6:$E$370))</f>
        <v>0 / 14</v>
      </c>
      <c r="G143" s="28" t="str">
        <f>CONCATENATE(SUMIF($D$6:$D143,D143,$E$6:$E$370)," / ",SUMIF($D$6:$D$370,D143,$E$6:$E$370))</f>
        <v>179 / 213</v>
      </c>
      <c r="H143" s="28" t="str">
        <f>CONCATENATE(SUM($E$6:$E143)," / ",SUM($E$6:$E$370))</f>
        <v>1016 / 1280</v>
      </c>
      <c r="I143" s="209">
        <f>SUM($E$6:$E143)/(1+B143-B$6)</f>
        <v>7.36231884057971</v>
      </c>
      <c r="J143" s="24"/>
      <c r="K143" s="24"/>
      <c r="L143" s="24"/>
    </row>
    <row r="144" spans="2:12" ht="13" thickBot="1">
      <c r="B144" s="123">
        <f t="shared" si="8"/>
        <v>42143</v>
      </c>
      <c r="C144" s="124">
        <f t="shared" si="6"/>
        <v>21</v>
      </c>
      <c r="D144" s="124">
        <f t="shared" si="7"/>
        <v>5</v>
      </c>
      <c r="E144" s="198">
        <f>SUMIF('SORTIES 2015'!B109:B172,B144,'SORTIES 2015'!E109:E172)</f>
        <v>0</v>
      </c>
      <c r="F144" s="28" t="str">
        <f>CONCATENATE(SUMIF($C$6:$C144,C144,$E$6:$E$370)," / ",SUMIF($C$6:$C$370,C144,$E$6:$E$370))</f>
        <v>0 / 14</v>
      </c>
      <c r="G144" s="28" t="str">
        <f>CONCATENATE(SUMIF($D$6:$D144,D144,$E$6:$E$370)," / ",SUMIF($D$6:$D$370,D144,$E$6:$E$370))</f>
        <v>179 / 213</v>
      </c>
      <c r="H144" s="28" t="str">
        <f>CONCATENATE(SUM($E$6:$E144)," / ",SUM($E$6:$E$370))</f>
        <v>1016 / 1280</v>
      </c>
      <c r="I144" s="209">
        <f>SUM($E$6:$E144)/(1+B144-B$6)</f>
        <v>7.3093525179856114</v>
      </c>
      <c r="J144" s="24"/>
      <c r="K144" s="24"/>
      <c r="L144" s="24"/>
    </row>
    <row r="145" spans="2:12" ht="13" thickBot="1">
      <c r="B145" s="123">
        <f t="shared" si="8"/>
        <v>42144</v>
      </c>
      <c r="C145" s="124">
        <f t="shared" si="6"/>
        <v>21</v>
      </c>
      <c r="D145" s="124">
        <f t="shared" si="7"/>
        <v>5</v>
      </c>
      <c r="E145" s="198">
        <f>SUMIF('SORTIES 2015'!B110:B173,B145,'SORTIES 2015'!E110:E173)</f>
        <v>0</v>
      </c>
      <c r="F145" s="28" t="str">
        <f>CONCATENATE(SUMIF($C$6:$C145,C145,$E$6:$E$370)," / ",SUMIF($C$6:$C$370,C145,$E$6:$E$370))</f>
        <v>0 / 14</v>
      </c>
      <c r="G145" s="28" t="str">
        <f>CONCATENATE(SUMIF($D$6:$D145,D145,$E$6:$E$370)," / ",SUMIF($D$6:$D$370,D145,$E$6:$E$370))</f>
        <v>179 / 213</v>
      </c>
      <c r="H145" s="28" t="str">
        <f>CONCATENATE(SUM($E$6:$E145)," / ",SUM($E$6:$E$370))</f>
        <v>1016 / 1280</v>
      </c>
      <c r="I145" s="209">
        <f>SUM($E$6:$E145)/(1+B145-B$6)</f>
        <v>7.2571428571428571</v>
      </c>
      <c r="J145" s="24"/>
      <c r="K145" s="24"/>
      <c r="L145" s="24"/>
    </row>
    <row r="146" spans="2:12" ht="13" thickBot="1">
      <c r="B146" s="123">
        <f t="shared" si="8"/>
        <v>42145</v>
      </c>
      <c r="C146" s="124">
        <f t="shared" si="6"/>
        <v>21</v>
      </c>
      <c r="D146" s="124">
        <f t="shared" si="7"/>
        <v>5</v>
      </c>
      <c r="E146" s="198">
        <f>SUMIF('SORTIES 2015'!B111:B174,B146,'SORTIES 2015'!E111:E174)</f>
        <v>14</v>
      </c>
      <c r="F146" s="28" t="str">
        <f>CONCATENATE(SUMIF($C$6:$C146,C146,$E$6:$E$370)," / ",SUMIF($C$6:$C$370,C146,$E$6:$E$370))</f>
        <v>14 / 14</v>
      </c>
      <c r="G146" s="28" t="str">
        <f>CONCATENATE(SUMIF($D$6:$D146,D146,$E$6:$E$370)," / ",SUMIF($D$6:$D$370,D146,$E$6:$E$370))</f>
        <v>193 / 213</v>
      </c>
      <c r="H146" s="28" t="str">
        <f>CONCATENATE(SUM($E$6:$E146)," / ",SUM($E$6:$E$370))</f>
        <v>1030 / 1280</v>
      </c>
      <c r="I146" s="209">
        <f>SUM($E$6:$E146)/(1+B146-B$6)</f>
        <v>7.3049645390070923</v>
      </c>
      <c r="J146" s="24"/>
      <c r="K146" s="24"/>
      <c r="L146" s="24"/>
    </row>
    <row r="147" spans="2:12" ht="13" thickBot="1">
      <c r="B147" s="123">
        <f t="shared" si="8"/>
        <v>42146</v>
      </c>
      <c r="C147" s="124">
        <f t="shared" si="6"/>
        <v>21</v>
      </c>
      <c r="D147" s="124">
        <f t="shared" si="7"/>
        <v>5</v>
      </c>
      <c r="E147" s="198">
        <f>SUMIF('SORTIES 2015'!B112:B175,B147,'SORTIES 2015'!E112:E175)</f>
        <v>0</v>
      </c>
      <c r="F147" s="28" t="str">
        <f>CONCATENATE(SUMIF($C$6:$C147,C147,$E$6:$E$370)," / ",SUMIF($C$6:$C$370,C147,$E$6:$E$370))</f>
        <v>14 / 14</v>
      </c>
      <c r="G147" s="28" t="str">
        <f>CONCATENATE(SUMIF($D$6:$D147,D147,$E$6:$E$370)," / ",SUMIF($D$6:$D$370,D147,$E$6:$E$370))</f>
        <v>193 / 213</v>
      </c>
      <c r="H147" s="28" t="str">
        <f>CONCATENATE(SUM($E$6:$E147)," / ",SUM($E$6:$E$370))</f>
        <v>1030 / 1280</v>
      </c>
      <c r="I147" s="209">
        <f>SUM($E$6:$E147)/(1+B147-B$6)</f>
        <v>7.253521126760563</v>
      </c>
      <c r="J147" s="24"/>
      <c r="K147" s="24"/>
      <c r="L147" s="24"/>
    </row>
    <row r="148" spans="2:12" ht="13" thickBot="1">
      <c r="B148" s="123">
        <f t="shared" si="8"/>
        <v>42147</v>
      </c>
      <c r="C148" s="124">
        <f t="shared" si="6"/>
        <v>21</v>
      </c>
      <c r="D148" s="124">
        <f t="shared" si="7"/>
        <v>5</v>
      </c>
      <c r="E148" s="198">
        <f>SUMIF('SORTIES 2015'!B113:B176,B148,'SORTIES 2015'!E113:E176)</f>
        <v>0</v>
      </c>
      <c r="F148" s="28" t="str">
        <f>CONCATENATE(SUMIF($C$6:$C148,C148,$E$6:$E$370)," / ",SUMIF($C$6:$C$370,C148,$E$6:$E$370))</f>
        <v>14 / 14</v>
      </c>
      <c r="G148" s="28" t="str">
        <f>CONCATENATE(SUMIF($D$6:$D148,D148,$E$6:$E$370)," / ",SUMIF($D$6:$D$370,D148,$E$6:$E$370))</f>
        <v>193 / 213</v>
      </c>
      <c r="H148" s="28" t="str">
        <f>CONCATENATE(SUM($E$6:$E148)," / ",SUM($E$6:$E$370))</f>
        <v>1030 / 1280</v>
      </c>
      <c r="I148" s="209">
        <f>SUM($E$6:$E148)/(1+B148-B$6)</f>
        <v>7.2027972027972025</v>
      </c>
      <c r="J148" s="24"/>
      <c r="K148" s="24"/>
      <c r="L148" s="24"/>
    </row>
    <row r="149" spans="2:12" ht="13" thickBot="1">
      <c r="B149" s="123">
        <f t="shared" si="8"/>
        <v>42148</v>
      </c>
      <c r="C149" s="124">
        <f t="shared" si="6"/>
        <v>22</v>
      </c>
      <c r="D149" s="124">
        <f t="shared" si="7"/>
        <v>5</v>
      </c>
      <c r="E149" s="198">
        <f>SUMIF('SORTIES 2015'!B114:B177,B149,'SORTIES 2015'!E114:E177)</f>
        <v>0</v>
      </c>
      <c r="F149" s="28" t="str">
        <f>CONCATENATE(SUMIF($C$6:$C149,C149,$E$6:$E$370)," / ",SUMIF($C$6:$C$370,C149,$E$6:$E$370))</f>
        <v>0 / 14</v>
      </c>
      <c r="G149" s="28" t="str">
        <f>CONCATENATE(SUMIF($D$6:$D149,D149,$E$6:$E$370)," / ",SUMIF($D$6:$D$370,D149,$E$6:$E$370))</f>
        <v>193 / 213</v>
      </c>
      <c r="H149" s="28" t="str">
        <f>CONCATENATE(SUM($E$6:$E149)," / ",SUM($E$6:$E$370))</f>
        <v>1030 / 1280</v>
      </c>
      <c r="I149" s="209">
        <f>SUM($E$6:$E149)/(1+B149-B$6)</f>
        <v>7.1527777777777777</v>
      </c>
      <c r="J149" s="24"/>
      <c r="K149" s="24"/>
      <c r="L149" s="24"/>
    </row>
    <row r="150" spans="2:12" ht="13" thickBot="1">
      <c r="B150" s="123">
        <f t="shared" si="8"/>
        <v>42149</v>
      </c>
      <c r="C150" s="124">
        <f t="shared" si="6"/>
        <v>22</v>
      </c>
      <c r="D150" s="124">
        <f t="shared" si="7"/>
        <v>5</v>
      </c>
      <c r="E150" s="198">
        <f>SUMIF('SORTIES 2015'!B115:B178,B150,'SORTIES 2015'!E115:E178)</f>
        <v>0</v>
      </c>
      <c r="F150" s="28" t="str">
        <f>CONCATENATE(SUMIF($C$6:$C150,C150,$E$6:$E$370)," / ",SUMIF($C$6:$C$370,C150,$E$6:$E$370))</f>
        <v>0 / 14</v>
      </c>
      <c r="G150" s="28" t="str">
        <f>CONCATENATE(SUMIF($D$6:$D150,D150,$E$6:$E$370)," / ",SUMIF($D$6:$D$370,D150,$E$6:$E$370))</f>
        <v>193 / 213</v>
      </c>
      <c r="H150" s="28" t="str">
        <f>CONCATENATE(SUM($E$6:$E150)," / ",SUM($E$6:$E$370))</f>
        <v>1030 / 1280</v>
      </c>
      <c r="I150" s="209">
        <f>SUM($E$6:$E150)/(1+B150-B$6)</f>
        <v>7.1034482758620694</v>
      </c>
      <c r="J150" s="24"/>
      <c r="K150" s="24"/>
      <c r="L150" s="24"/>
    </row>
    <row r="151" spans="2:12" ht="13" thickBot="1">
      <c r="B151" s="123">
        <f t="shared" si="8"/>
        <v>42150</v>
      </c>
      <c r="C151" s="124">
        <f t="shared" si="6"/>
        <v>22</v>
      </c>
      <c r="D151" s="124">
        <f t="shared" si="7"/>
        <v>5</v>
      </c>
      <c r="E151" s="198">
        <f>SUMIF('SORTIES 2015'!B116:B179,B151,'SORTIES 2015'!E116:E179)</f>
        <v>0</v>
      </c>
      <c r="F151" s="28" t="str">
        <f>CONCATENATE(SUMIF($C$6:$C151,C151,$E$6:$E$370)," / ",SUMIF($C$6:$C$370,C151,$E$6:$E$370))</f>
        <v>0 / 14</v>
      </c>
      <c r="G151" s="28" t="str">
        <f>CONCATENATE(SUMIF($D$6:$D151,D151,$E$6:$E$370)," / ",SUMIF($D$6:$D$370,D151,$E$6:$E$370))</f>
        <v>193 / 213</v>
      </c>
      <c r="H151" s="28" t="str">
        <f>CONCATENATE(SUM($E$6:$E151)," / ",SUM($E$6:$E$370))</f>
        <v>1030 / 1280</v>
      </c>
      <c r="I151" s="209">
        <f>SUM($E$6:$E151)/(1+B151-B$6)</f>
        <v>7.0547945205479454</v>
      </c>
      <c r="J151" s="24"/>
      <c r="K151" s="24"/>
      <c r="L151" s="24"/>
    </row>
    <row r="152" spans="2:12" ht="13" thickBot="1">
      <c r="B152" s="123">
        <f t="shared" si="8"/>
        <v>42151</v>
      </c>
      <c r="C152" s="124">
        <f t="shared" si="6"/>
        <v>22</v>
      </c>
      <c r="D152" s="124">
        <f t="shared" si="7"/>
        <v>5</v>
      </c>
      <c r="E152" s="198">
        <f>SUMIF('SORTIES 2015'!B117:B180,B152,'SORTIES 2015'!E117:E180)</f>
        <v>14</v>
      </c>
      <c r="F152" s="28" t="str">
        <f>CONCATENATE(SUMIF($C$6:$C152,C152,$E$6:$E$370)," / ",SUMIF($C$6:$C$370,C152,$E$6:$E$370))</f>
        <v>14 / 14</v>
      </c>
      <c r="G152" s="28" t="str">
        <f>CONCATENATE(SUMIF($D$6:$D152,D152,$E$6:$E$370)," / ",SUMIF($D$6:$D$370,D152,$E$6:$E$370))</f>
        <v>207 / 213</v>
      </c>
      <c r="H152" s="28" t="str">
        <f>CONCATENATE(SUM($E$6:$E152)," / ",SUM($E$6:$E$370))</f>
        <v>1044 / 1280</v>
      </c>
      <c r="I152" s="209">
        <f>SUM($E$6:$E152)/(1+B152-B$6)</f>
        <v>7.1020408163265305</v>
      </c>
      <c r="J152" s="24"/>
      <c r="K152" s="24"/>
      <c r="L152" s="24"/>
    </row>
    <row r="153" spans="2:12" ht="13" thickBot="1">
      <c r="B153" s="123">
        <f t="shared" si="8"/>
        <v>42152</v>
      </c>
      <c r="C153" s="124">
        <f t="shared" si="6"/>
        <v>22</v>
      </c>
      <c r="D153" s="124">
        <f t="shared" si="7"/>
        <v>5</v>
      </c>
      <c r="E153" s="198">
        <f>SUMIF('SORTIES 2015'!B118:B181,B153,'SORTIES 2015'!E118:E181)</f>
        <v>0</v>
      </c>
      <c r="F153" s="28" t="str">
        <f>CONCATENATE(SUMIF($C$6:$C153,C153,$E$6:$E$370)," / ",SUMIF($C$6:$C$370,C153,$E$6:$E$370))</f>
        <v>14 / 14</v>
      </c>
      <c r="G153" s="28" t="str">
        <f>CONCATENATE(SUMIF($D$6:$D153,D153,$E$6:$E$370)," / ",SUMIF($D$6:$D$370,D153,$E$6:$E$370))</f>
        <v>207 / 213</v>
      </c>
      <c r="H153" s="28" t="str">
        <f>CONCATENATE(SUM($E$6:$E153)," / ",SUM($E$6:$E$370))</f>
        <v>1044 / 1280</v>
      </c>
      <c r="I153" s="209">
        <f>SUM($E$6:$E153)/(1+B153-B$6)</f>
        <v>7.0540540540540544</v>
      </c>
      <c r="J153" s="24"/>
      <c r="K153" s="24"/>
      <c r="L153" s="24"/>
    </row>
    <row r="154" spans="2:12" ht="13" thickBot="1">
      <c r="B154" s="123">
        <f t="shared" si="8"/>
        <v>42153</v>
      </c>
      <c r="C154" s="124">
        <f t="shared" si="6"/>
        <v>22</v>
      </c>
      <c r="D154" s="124">
        <f t="shared" si="7"/>
        <v>5</v>
      </c>
      <c r="E154" s="198">
        <f>SUMIF('SORTIES 2015'!B119:B182,B154,'SORTIES 2015'!E119:E182)</f>
        <v>0</v>
      </c>
      <c r="F154" s="28" t="str">
        <f>CONCATENATE(SUMIF($C$6:$C154,C154,$E$6:$E$370)," / ",SUMIF($C$6:$C$370,C154,$E$6:$E$370))</f>
        <v>14 / 14</v>
      </c>
      <c r="G154" s="28" t="str">
        <f>CONCATENATE(SUMIF($D$6:$D154,D154,$E$6:$E$370)," / ",SUMIF($D$6:$D$370,D154,$E$6:$E$370))</f>
        <v>207 / 213</v>
      </c>
      <c r="H154" s="28" t="str">
        <f>CONCATENATE(SUM($E$6:$E154)," / ",SUM($E$6:$E$370))</f>
        <v>1044 / 1280</v>
      </c>
      <c r="I154" s="209">
        <f>SUM($E$6:$E154)/(1+B154-B$6)</f>
        <v>7.0067114093959733</v>
      </c>
      <c r="J154" s="24"/>
      <c r="K154" s="24"/>
      <c r="L154" s="24"/>
    </row>
    <row r="155" spans="2:12" ht="13" thickBot="1">
      <c r="B155" s="123">
        <f t="shared" si="8"/>
        <v>42154</v>
      </c>
      <c r="C155" s="124">
        <f t="shared" si="6"/>
        <v>22</v>
      </c>
      <c r="D155" s="124">
        <f t="shared" si="7"/>
        <v>5</v>
      </c>
      <c r="E155" s="198">
        <f>SUMIF('SORTIES 2015'!B120:B183,B155,'SORTIES 2015'!E120:E183)</f>
        <v>0</v>
      </c>
      <c r="F155" s="28" t="str">
        <f>CONCATENATE(SUMIF($C$6:$C155,C155,$E$6:$E$370)," / ",SUMIF($C$6:$C$370,C155,$E$6:$E$370))</f>
        <v>14 / 14</v>
      </c>
      <c r="G155" s="28" t="str">
        <f>CONCATENATE(SUMIF($D$6:$D155,D155,$E$6:$E$370)," / ",SUMIF($D$6:$D$370,D155,$E$6:$E$370))</f>
        <v>207 / 213</v>
      </c>
      <c r="H155" s="28" t="str">
        <f>CONCATENATE(SUM($E$6:$E155)," / ",SUM($E$6:$E$370))</f>
        <v>1044 / 1280</v>
      </c>
      <c r="I155" s="209">
        <f>SUM($E$6:$E155)/(1+B155-B$6)</f>
        <v>6.96</v>
      </c>
      <c r="J155" s="24"/>
      <c r="K155" s="24"/>
      <c r="L155" s="24"/>
    </row>
    <row r="156" spans="2:12" ht="13" thickBot="1">
      <c r="B156" s="123">
        <f t="shared" si="8"/>
        <v>42155</v>
      </c>
      <c r="C156" s="124">
        <f t="shared" si="6"/>
        <v>23</v>
      </c>
      <c r="D156" s="124">
        <f t="shared" si="7"/>
        <v>5</v>
      </c>
      <c r="E156" s="198">
        <f>SUMIF('SORTIES 2015'!B121:B184,B156,'SORTIES 2015'!E121:E184)</f>
        <v>6</v>
      </c>
      <c r="F156" s="28" t="str">
        <f>CONCATENATE(SUMIF($C$6:$C156,C156,$E$6:$E$370)," / ",SUMIF($C$6:$C$370,C156,$E$6:$E$370))</f>
        <v>6 / 50</v>
      </c>
      <c r="G156" s="28" t="str">
        <f>CONCATENATE(SUMIF($D$6:$D156,D156,$E$6:$E$370)," / ",SUMIF($D$6:$D$370,D156,$E$6:$E$370))</f>
        <v>213 / 213</v>
      </c>
      <c r="H156" s="28" t="str">
        <f>CONCATENATE(SUM($E$6:$E156)," / ",SUM($E$6:$E$370))</f>
        <v>1050 / 1280</v>
      </c>
      <c r="I156" s="209">
        <f>SUM($E$6:$E156)/(1+B156-B$6)</f>
        <v>6.9536423841059607</v>
      </c>
      <c r="J156" s="24"/>
      <c r="K156" s="24"/>
      <c r="L156" s="24"/>
    </row>
    <row r="157" spans="2:12" ht="13" thickBot="1">
      <c r="B157" s="123">
        <f t="shared" si="8"/>
        <v>42156</v>
      </c>
      <c r="C157" s="124">
        <f t="shared" si="6"/>
        <v>23</v>
      </c>
      <c r="D157" s="124">
        <f t="shared" si="7"/>
        <v>6</v>
      </c>
      <c r="E157" s="198">
        <f>SUMIF('SORTIES 2015'!B122:B185,B157,'SORTIES 2015'!E122:E185)</f>
        <v>17</v>
      </c>
      <c r="F157" s="28" t="str">
        <f>CONCATENATE(SUMIF($C$6:$C157,C157,$E$6:$E$370)," / ",SUMIF($C$6:$C$370,C157,$E$6:$E$370))</f>
        <v>23 / 50</v>
      </c>
      <c r="G157" s="28" t="str">
        <f>CONCATENATE(SUMIF($D$6:$D157,D157,$E$6:$E$370)," / ",SUMIF($D$6:$D$370,D157,$E$6:$E$370))</f>
        <v>17 / 165</v>
      </c>
      <c r="H157" s="28" t="str">
        <f>CONCATENATE(SUM($E$6:$E157)," / ",SUM($E$6:$E$370))</f>
        <v>1067 / 1280</v>
      </c>
      <c r="I157" s="209">
        <f>SUM($E$6:$E157)/(1+B157-B$6)</f>
        <v>7.0197368421052628</v>
      </c>
      <c r="J157" s="24"/>
      <c r="K157" s="24"/>
      <c r="L157" s="24"/>
    </row>
    <row r="158" spans="2:12" ht="13" thickBot="1">
      <c r="B158" s="123">
        <f t="shared" si="8"/>
        <v>42157</v>
      </c>
      <c r="C158" s="124">
        <f t="shared" si="6"/>
        <v>23</v>
      </c>
      <c r="D158" s="124">
        <f t="shared" si="7"/>
        <v>6</v>
      </c>
      <c r="E158" s="198">
        <f>SUMIF('SORTIES 2015'!B123:B186,B158,'SORTIES 2015'!E123:E186)</f>
        <v>0</v>
      </c>
      <c r="F158" s="28" t="str">
        <f>CONCATENATE(SUMIF($C$6:$C158,C158,$E$6:$E$370)," / ",SUMIF($C$6:$C$370,C158,$E$6:$E$370))</f>
        <v>23 / 50</v>
      </c>
      <c r="G158" s="28" t="str">
        <f>CONCATENATE(SUMIF($D$6:$D158,D158,$E$6:$E$370)," / ",SUMIF($D$6:$D$370,D158,$E$6:$E$370))</f>
        <v>17 / 165</v>
      </c>
      <c r="H158" s="28" t="str">
        <f>CONCATENATE(SUM($E$6:$E158)," / ",SUM($E$6:$E$370))</f>
        <v>1067 / 1280</v>
      </c>
      <c r="I158" s="209">
        <f>SUM($E$6:$E158)/(1+B158-B$6)</f>
        <v>6.9738562091503269</v>
      </c>
      <c r="J158" s="24"/>
      <c r="K158" s="24"/>
      <c r="L158" s="24"/>
    </row>
    <row r="159" spans="2:12" ht="13" thickBot="1">
      <c r="B159" s="123">
        <f t="shared" si="8"/>
        <v>42158</v>
      </c>
      <c r="C159" s="124">
        <f t="shared" si="6"/>
        <v>23</v>
      </c>
      <c r="D159" s="124">
        <f t="shared" si="7"/>
        <v>6</v>
      </c>
      <c r="E159" s="198">
        <f>SUMIF('SORTIES 2015'!B124:B187,B159,'SORTIES 2015'!E124:E187)</f>
        <v>0</v>
      </c>
      <c r="F159" s="28" t="str">
        <f>CONCATENATE(SUMIF($C$6:$C159,C159,$E$6:$E$370)," / ",SUMIF($C$6:$C$370,C159,$E$6:$E$370))</f>
        <v>23 / 50</v>
      </c>
      <c r="G159" s="28" t="str">
        <f>CONCATENATE(SUMIF($D$6:$D159,D159,$E$6:$E$370)," / ",SUMIF($D$6:$D$370,D159,$E$6:$E$370))</f>
        <v>17 / 165</v>
      </c>
      <c r="H159" s="28" t="str">
        <f>CONCATENATE(SUM($E$6:$E159)," / ",SUM($E$6:$E$370))</f>
        <v>1067 / 1280</v>
      </c>
      <c r="I159" s="209">
        <f>SUM($E$6:$E159)/(1+B159-B$6)</f>
        <v>6.9285714285714288</v>
      </c>
      <c r="J159" s="24"/>
      <c r="K159" s="24"/>
      <c r="L159" s="24"/>
    </row>
    <row r="160" spans="2:12" ht="13" thickBot="1">
      <c r="B160" s="123">
        <f t="shared" si="8"/>
        <v>42159</v>
      </c>
      <c r="C160" s="124">
        <f t="shared" si="6"/>
        <v>23</v>
      </c>
      <c r="D160" s="124">
        <f t="shared" si="7"/>
        <v>6</v>
      </c>
      <c r="E160" s="198">
        <f>SUMIF('SORTIES 2015'!B125:B188,B160,'SORTIES 2015'!E125:E188)</f>
        <v>13</v>
      </c>
      <c r="F160" s="28" t="str">
        <f>CONCATENATE(SUMIF($C$6:$C160,C160,$E$6:$E$370)," / ",SUMIF($C$6:$C$370,C160,$E$6:$E$370))</f>
        <v>36 / 50</v>
      </c>
      <c r="G160" s="28" t="str">
        <f>CONCATENATE(SUMIF($D$6:$D160,D160,$E$6:$E$370)," / ",SUMIF($D$6:$D$370,D160,$E$6:$E$370))</f>
        <v>30 / 165</v>
      </c>
      <c r="H160" s="28" t="str">
        <f>CONCATENATE(SUM($E$6:$E160)," / ",SUM($E$6:$E$370))</f>
        <v>1080 / 1280</v>
      </c>
      <c r="I160" s="209">
        <f>SUM($E$6:$E160)/(1+B160-B$6)</f>
        <v>6.967741935483871</v>
      </c>
      <c r="J160" s="24"/>
      <c r="K160" s="24"/>
      <c r="L160" s="24"/>
    </row>
    <row r="161" spans="2:12" ht="13" thickBot="1">
      <c r="B161" s="123">
        <f t="shared" si="8"/>
        <v>42160</v>
      </c>
      <c r="C161" s="124">
        <f t="shared" si="6"/>
        <v>23</v>
      </c>
      <c r="D161" s="124">
        <f t="shared" si="7"/>
        <v>6</v>
      </c>
      <c r="E161" s="198">
        <f>SUMIF('SORTIES 2015'!B126:B189,B161,'SORTIES 2015'!E126:E189)</f>
        <v>0</v>
      </c>
      <c r="F161" s="28" t="str">
        <f>CONCATENATE(SUMIF($C$6:$C161,C161,$E$6:$E$370)," / ",SUMIF($C$6:$C$370,C161,$E$6:$E$370))</f>
        <v>36 / 50</v>
      </c>
      <c r="G161" s="28" t="str">
        <f>CONCATENATE(SUMIF($D$6:$D161,D161,$E$6:$E$370)," / ",SUMIF($D$6:$D$370,D161,$E$6:$E$370))</f>
        <v>30 / 165</v>
      </c>
      <c r="H161" s="28" t="str">
        <f>CONCATENATE(SUM($E$6:$E161)," / ",SUM($E$6:$E$370))</f>
        <v>1080 / 1280</v>
      </c>
      <c r="I161" s="209">
        <f>SUM($E$6:$E161)/(1+B161-B$6)</f>
        <v>6.9230769230769234</v>
      </c>
      <c r="J161" s="24"/>
      <c r="K161" s="24"/>
      <c r="L161" s="24"/>
    </row>
    <row r="162" spans="2:12" ht="13" thickBot="1">
      <c r="B162" s="123">
        <f t="shared" si="8"/>
        <v>42161</v>
      </c>
      <c r="C162" s="124">
        <f t="shared" si="6"/>
        <v>23</v>
      </c>
      <c r="D162" s="124">
        <f t="shared" si="7"/>
        <v>6</v>
      </c>
      <c r="E162" s="198">
        <f>SUMIF('SORTIES 2015'!B127:B190,B162,'SORTIES 2015'!E127:E190)</f>
        <v>14</v>
      </c>
      <c r="F162" s="28" t="str">
        <f>CONCATENATE(SUMIF($C$6:$C162,C162,$E$6:$E$370)," / ",SUMIF($C$6:$C$370,C162,$E$6:$E$370))</f>
        <v>50 / 50</v>
      </c>
      <c r="G162" s="28" t="str">
        <f>CONCATENATE(SUMIF($D$6:$D162,D162,$E$6:$E$370)," / ",SUMIF($D$6:$D$370,D162,$E$6:$E$370))</f>
        <v>44 / 165</v>
      </c>
      <c r="H162" s="28" t="str">
        <f>CONCATENATE(SUM($E$6:$E162)," / ",SUM($E$6:$E$370))</f>
        <v>1094 / 1280</v>
      </c>
      <c r="I162" s="209">
        <f>SUM($E$6:$E162)/(1+B162-B$6)</f>
        <v>6.968152866242038</v>
      </c>
      <c r="J162" s="24"/>
      <c r="K162" s="24"/>
      <c r="L162" s="24"/>
    </row>
    <row r="163" spans="2:12" ht="13" thickBot="1">
      <c r="B163" s="123">
        <f t="shared" si="8"/>
        <v>42162</v>
      </c>
      <c r="C163" s="124">
        <f t="shared" si="6"/>
        <v>24</v>
      </c>
      <c r="D163" s="124">
        <f t="shared" si="7"/>
        <v>6</v>
      </c>
      <c r="E163" s="198">
        <f>SUMIF('SORTIES 2015'!B128:B191,B163,'SORTIES 2015'!E128:E191)</f>
        <v>0</v>
      </c>
      <c r="F163" s="28" t="str">
        <f>CONCATENATE(SUMIF($C$6:$C163,C163,$E$6:$E$370)," / ",SUMIF($C$6:$C$370,C163,$E$6:$E$370))</f>
        <v>0 / 54</v>
      </c>
      <c r="G163" s="28" t="str">
        <f>CONCATENATE(SUMIF($D$6:$D163,D163,$E$6:$E$370)," / ",SUMIF($D$6:$D$370,D163,$E$6:$E$370))</f>
        <v>44 / 165</v>
      </c>
      <c r="H163" s="28" t="str">
        <f>CONCATENATE(SUM($E$6:$E163)," / ",SUM($E$6:$E$370))</f>
        <v>1094 / 1280</v>
      </c>
      <c r="I163" s="209">
        <f>SUM($E$6:$E163)/(1+B163-B$6)</f>
        <v>6.924050632911392</v>
      </c>
      <c r="J163" s="24"/>
      <c r="K163" s="24"/>
      <c r="L163" s="24"/>
    </row>
    <row r="164" spans="2:12" ht="13" thickBot="1">
      <c r="B164" s="123">
        <f t="shared" si="8"/>
        <v>42163</v>
      </c>
      <c r="C164" s="124">
        <f t="shared" si="6"/>
        <v>24</v>
      </c>
      <c r="D164" s="124">
        <f t="shared" si="7"/>
        <v>6</v>
      </c>
      <c r="E164" s="198">
        <f>SUMIF('SORTIES 2015'!B129:B192,B164,'SORTIES 2015'!E129:E192)</f>
        <v>8</v>
      </c>
      <c r="F164" s="28" t="str">
        <f>CONCATENATE(SUMIF($C$6:$C164,C164,$E$6:$E$370)," / ",SUMIF($C$6:$C$370,C164,$E$6:$E$370))</f>
        <v>8 / 54</v>
      </c>
      <c r="G164" s="28" t="str">
        <f>CONCATENATE(SUMIF($D$6:$D164,D164,$E$6:$E$370)," / ",SUMIF($D$6:$D$370,D164,$E$6:$E$370))</f>
        <v>52 / 165</v>
      </c>
      <c r="H164" s="28" t="str">
        <f>CONCATENATE(SUM($E$6:$E164)," / ",SUM($E$6:$E$370))</f>
        <v>1102 / 1280</v>
      </c>
      <c r="I164" s="209">
        <f>SUM($E$6:$E164)/(1+B164-B$6)</f>
        <v>6.9308176100628929</v>
      </c>
      <c r="J164" s="24"/>
      <c r="K164" s="24"/>
      <c r="L164" s="24"/>
    </row>
    <row r="165" spans="2:12" ht="13" thickBot="1">
      <c r="B165" s="123">
        <f t="shared" si="8"/>
        <v>42164</v>
      </c>
      <c r="C165" s="124">
        <f t="shared" si="6"/>
        <v>24</v>
      </c>
      <c r="D165" s="124">
        <f t="shared" si="7"/>
        <v>6</v>
      </c>
      <c r="E165" s="198">
        <f>SUMIF('SORTIES 2015'!B130:B193,B165,'SORTIES 2015'!E130:E193)</f>
        <v>7</v>
      </c>
      <c r="F165" s="28" t="str">
        <f>CONCATENATE(SUMIF($C$6:$C165,C165,$E$6:$E$370)," / ",SUMIF($C$6:$C$370,C165,$E$6:$E$370))</f>
        <v>15 / 54</v>
      </c>
      <c r="G165" s="28" t="str">
        <f>CONCATENATE(SUMIF($D$6:$D165,D165,$E$6:$E$370)," / ",SUMIF($D$6:$D$370,D165,$E$6:$E$370))</f>
        <v>59 / 165</v>
      </c>
      <c r="H165" s="28" t="str">
        <f>CONCATENATE(SUM($E$6:$E165)," / ",SUM($E$6:$E$370))</f>
        <v>1109 / 1280</v>
      </c>
      <c r="I165" s="209">
        <f>SUM($E$6:$E165)/(1+B165-B$6)</f>
        <v>6.9312500000000004</v>
      </c>
      <c r="J165" s="24"/>
      <c r="K165" s="24"/>
      <c r="L165" s="24"/>
    </row>
    <row r="166" spans="2:12" ht="13" thickBot="1">
      <c r="B166" s="123">
        <f t="shared" si="8"/>
        <v>42165</v>
      </c>
      <c r="C166" s="124">
        <f t="shared" si="6"/>
        <v>24</v>
      </c>
      <c r="D166" s="124">
        <f t="shared" si="7"/>
        <v>6</v>
      </c>
      <c r="E166" s="198">
        <f>SUMIF('SORTIES 2015'!B131:B194,B166,'SORTIES 2015'!E131:E194)</f>
        <v>10</v>
      </c>
      <c r="F166" s="28" t="str">
        <f>CONCATENATE(SUMIF($C$6:$C166,C166,$E$6:$E$370)," / ",SUMIF($C$6:$C$370,C166,$E$6:$E$370))</f>
        <v>25 / 54</v>
      </c>
      <c r="G166" s="28" t="str">
        <f>CONCATENATE(SUMIF($D$6:$D166,D166,$E$6:$E$370)," / ",SUMIF($D$6:$D$370,D166,$E$6:$E$370))</f>
        <v>69 / 165</v>
      </c>
      <c r="H166" s="28" t="str">
        <f>CONCATENATE(SUM($E$6:$E166)," / ",SUM($E$6:$E$370))</f>
        <v>1119 / 1280</v>
      </c>
      <c r="I166" s="209">
        <f>SUM($E$6:$E166)/(1+B166-B$6)</f>
        <v>6.9503105590062111</v>
      </c>
      <c r="J166" s="24"/>
      <c r="K166" s="24"/>
      <c r="L166" s="24"/>
    </row>
    <row r="167" spans="2:12" ht="13" thickBot="1">
      <c r="B167" s="123">
        <f t="shared" si="8"/>
        <v>42166</v>
      </c>
      <c r="C167" s="124">
        <f t="shared" si="6"/>
        <v>24</v>
      </c>
      <c r="D167" s="124">
        <f t="shared" si="7"/>
        <v>6</v>
      </c>
      <c r="E167" s="198">
        <f>SUMIF('SORTIES 2015'!B132:B195,B167,'SORTIES 2015'!E132:E195)</f>
        <v>12</v>
      </c>
      <c r="F167" s="28" t="str">
        <f>CONCATENATE(SUMIF($C$6:$C167,C167,$E$6:$E$370)," / ",SUMIF($C$6:$C$370,C167,$E$6:$E$370))</f>
        <v>37 / 54</v>
      </c>
      <c r="G167" s="28" t="str">
        <f>CONCATENATE(SUMIF($D$6:$D167,D167,$E$6:$E$370)," / ",SUMIF($D$6:$D$370,D167,$E$6:$E$370))</f>
        <v>81 / 165</v>
      </c>
      <c r="H167" s="28" t="str">
        <f>CONCATENATE(SUM($E$6:$E167)," / ",SUM($E$6:$E$370))</f>
        <v>1131 / 1280</v>
      </c>
      <c r="I167" s="209">
        <f>SUM($E$6:$E167)/(1+B167-B$6)</f>
        <v>6.9814814814814818</v>
      </c>
      <c r="J167" s="24"/>
      <c r="K167" s="24"/>
      <c r="L167" s="24"/>
    </row>
    <row r="168" spans="2:12" ht="13" thickBot="1">
      <c r="B168" s="123">
        <f t="shared" si="8"/>
        <v>42167</v>
      </c>
      <c r="C168" s="124">
        <f t="shared" si="6"/>
        <v>24</v>
      </c>
      <c r="D168" s="124">
        <f t="shared" si="7"/>
        <v>6</v>
      </c>
      <c r="E168" s="198">
        <f>SUMIF('SORTIES 2015'!B133:B196,B168,'SORTIES 2015'!E133:E196)</f>
        <v>0</v>
      </c>
      <c r="F168" s="28" t="str">
        <f>CONCATENATE(SUMIF($C$6:$C168,C168,$E$6:$E$370)," / ",SUMIF($C$6:$C$370,C168,$E$6:$E$370))</f>
        <v>37 / 54</v>
      </c>
      <c r="G168" s="28" t="str">
        <f>CONCATENATE(SUMIF($D$6:$D168,D168,$E$6:$E$370)," / ",SUMIF($D$6:$D$370,D168,$E$6:$E$370))</f>
        <v>81 / 165</v>
      </c>
      <c r="H168" s="28" t="str">
        <f>CONCATENATE(SUM($E$6:$E168)," / ",SUM($E$6:$E$370))</f>
        <v>1131 / 1280</v>
      </c>
      <c r="I168" s="209">
        <f>SUM($E$6:$E168)/(1+B168-B$6)</f>
        <v>6.9386503067484666</v>
      </c>
      <c r="J168" s="24"/>
      <c r="K168" s="24"/>
      <c r="L168" s="24"/>
    </row>
    <row r="169" spans="2:12" ht="13" thickBot="1">
      <c r="B169" s="123">
        <f t="shared" si="8"/>
        <v>42168</v>
      </c>
      <c r="C169" s="124">
        <f t="shared" si="6"/>
        <v>24</v>
      </c>
      <c r="D169" s="124">
        <f t="shared" si="7"/>
        <v>6</v>
      </c>
      <c r="E169" s="198">
        <f>SUMIF('SORTIES 2015'!B134:B197,B169,'SORTIES 2015'!E134:E197)</f>
        <v>17</v>
      </c>
      <c r="F169" s="28" t="str">
        <f>CONCATENATE(SUMIF($C$6:$C169,C169,$E$6:$E$370)," / ",SUMIF($C$6:$C$370,C169,$E$6:$E$370))</f>
        <v>54 / 54</v>
      </c>
      <c r="G169" s="28" t="str">
        <f>CONCATENATE(SUMIF($D$6:$D169,D169,$E$6:$E$370)," / ",SUMIF($D$6:$D$370,D169,$E$6:$E$370))</f>
        <v>98 / 165</v>
      </c>
      <c r="H169" s="28" t="str">
        <f>CONCATENATE(SUM($E$6:$E169)," / ",SUM($E$6:$E$370))</f>
        <v>1148 / 1280</v>
      </c>
      <c r="I169" s="209">
        <f>SUM($E$6:$E169)/(1+B169-B$6)</f>
        <v>7</v>
      </c>
      <c r="J169" s="24"/>
      <c r="K169" s="24"/>
      <c r="L169" s="24"/>
    </row>
    <row r="170" spans="2:12" ht="13" thickBot="1">
      <c r="B170" s="123">
        <f t="shared" si="8"/>
        <v>42169</v>
      </c>
      <c r="C170" s="124">
        <f t="shared" si="6"/>
        <v>25</v>
      </c>
      <c r="D170" s="124">
        <f t="shared" si="7"/>
        <v>6</v>
      </c>
      <c r="E170" s="198">
        <f>SUMIF('SORTIES 2015'!B135:B198,B170,'SORTIES 2015'!E135:E198)</f>
        <v>0</v>
      </c>
      <c r="F170" s="28" t="str">
        <f>CONCATENATE(SUMIF($C$6:$C170,C170,$E$6:$E$370)," / ",SUMIF($C$6:$C$370,C170,$E$6:$E$370))</f>
        <v>0 / 9</v>
      </c>
      <c r="G170" s="28" t="str">
        <f>CONCATENATE(SUMIF($D$6:$D170,D170,$E$6:$E$370)," / ",SUMIF($D$6:$D$370,D170,$E$6:$E$370))</f>
        <v>98 / 165</v>
      </c>
      <c r="H170" s="28" t="str">
        <f>CONCATENATE(SUM($E$6:$E170)," / ",SUM($E$6:$E$370))</f>
        <v>1148 / 1280</v>
      </c>
      <c r="I170" s="209">
        <f>SUM($E$6:$E170)/(1+B170-B$6)</f>
        <v>6.957575757575758</v>
      </c>
      <c r="J170" s="24"/>
      <c r="K170" s="24"/>
      <c r="L170" s="24"/>
    </row>
    <row r="171" spans="2:12" ht="13" thickBot="1">
      <c r="B171" s="123">
        <f t="shared" si="8"/>
        <v>42170</v>
      </c>
      <c r="C171" s="124">
        <f t="shared" si="6"/>
        <v>25</v>
      </c>
      <c r="D171" s="124">
        <f t="shared" si="7"/>
        <v>6</v>
      </c>
      <c r="E171" s="198">
        <f>SUMIF('SORTIES 2015'!B136:B199,B171,'SORTIES 2015'!E136:E199)</f>
        <v>0</v>
      </c>
      <c r="F171" s="28" t="str">
        <f>CONCATENATE(SUMIF($C$6:$C171,C171,$E$6:$E$370)," / ",SUMIF($C$6:$C$370,C171,$E$6:$E$370))</f>
        <v>0 / 9</v>
      </c>
      <c r="G171" s="28" t="str">
        <f>CONCATENATE(SUMIF($D$6:$D171,D171,$E$6:$E$370)," / ",SUMIF($D$6:$D$370,D171,$E$6:$E$370))</f>
        <v>98 / 165</v>
      </c>
      <c r="H171" s="28" t="str">
        <f>CONCATENATE(SUM($E$6:$E171)," / ",SUM($E$6:$E$370))</f>
        <v>1148 / 1280</v>
      </c>
      <c r="I171" s="209">
        <f>SUM($E$6:$E171)/(1+B171-B$6)</f>
        <v>6.9156626506024095</v>
      </c>
      <c r="J171" s="24"/>
      <c r="K171" s="24"/>
      <c r="L171" s="24"/>
    </row>
    <row r="172" spans="2:12" ht="13" thickBot="1">
      <c r="B172" s="123">
        <f t="shared" si="8"/>
        <v>42171</v>
      </c>
      <c r="C172" s="124">
        <f t="shared" si="6"/>
        <v>25</v>
      </c>
      <c r="D172" s="124">
        <f t="shared" si="7"/>
        <v>6</v>
      </c>
      <c r="E172" s="198">
        <f>SUMIF('SORTIES 2015'!B137:B200,B172,'SORTIES 2015'!E137:E200)</f>
        <v>0</v>
      </c>
      <c r="F172" s="28" t="str">
        <f>CONCATENATE(SUMIF($C$6:$C172,C172,$E$6:$E$370)," / ",SUMIF($C$6:$C$370,C172,$E$6:$E$370))</f>
        <v>0 / 9</v>
      </c>
      <c r="G172" s="28" t="str">
        <f>CONCATENATE(SUMIF($D$6:$D172,D172,$E$6:$E$370)," / ",SUMIF($D$6:$D$370,D172,$E$6:$E$370))</f>
        <v>98 / 165</v>
      </c>
      <c r="H172" s="28" t="str">
        <f>CONCATENATE(SUM($E$6:$E172)," / ",SUM($E$6:$E$370))</f>
        <v>1148 / 1280</v>
      </c>
      <c r="I172" s="209">
        <f>SUM($E$6:$E172)/(1+B172-B$6)</f>
        <v>6.8742514970059876</v>
      </c>
      <c r="J172" s="24"/>
      <c r="K172" s="24"/>
      <c r="L172" s="24"/>
    </row>
    <row r="173" spans="2:12" ht="13" thickBot="1">
      <c r="B173" s="123">
        <f t="shared" si="8"/>
        <v>42172</v>
      </c>
      <c r="C173" s="124">
        <f t="shared" si="6"/>
        <v>25</v>
      </c>
      <c r="D173" s="124">
        <f t="shared" si="7"/>
        <v>6</v>
      </c>
      <c r="E173" s="198">
        <f>SUMIF('SORTIES 2015'!B138:B201,B173,'SORTIES 2015'!E138:E201)</f>
        <v>0</v>
      </c>
      <c r="F173" s="28" t="str">
        <f>CONCATENATE(SUMIF($C$6:$C173,C173,$E$6:$E$370)," / ",SUMIF($C$6:$C$370,C173,$E$6:$E$370))</f>
        <v>0 / 9</v>
      </c>
      <c r="G173" s="28" t="str">
        <f>CONCATENATE(SUMIF($D$6:$D173,D173,$E$6:$E$370)," / ",SUMIF($D$6:$D$370,D173,$E$6:$E$370))</f>
        <v>98 / 165</v>
      </c>
      <c r="H173" s="28" t="str">
        <f>CONCATENATE(SUM($E$6:$E173)," / ",SUM($E$6:$E$370))</f>
        <v>1148 / 1280</v>
      </c>
      <c r="I173" s="209">
        <f>SUM($E$6:$E173)/(1+B173-B$6)</f>
        <v>6.833333333333333</v>
      </c>
      <c r="J173" s="24"/>
      <c r="K173" s="24"/>
      <c r="L173" s="24"/>
    </row>
    <row r="174" spans="2:12" ht="13" thickBot="1">
      <c r="B174" s="123">
        <f t="shared" si="8"/>
        <v>42173</v>
      </c>
      <c r="C174" s="124">
        <f t="shared" si="6"/>
        <v>25</v>
      </c>
      <c r="D174" s="124">
        <f t="shared" si="7"/>
        <v>6</v>
      </c>
      <c r="E174" s="198">
        <f>SUMIF('SORTIES 2015'!B139:B202,B174,'SORTIES 2015'!E139:E202)</f>
        <v>0</v>
      </c>
      <c r="F174" s="28" t="str">
        <f>CONCATENATE(SUMIF($C$6:$C174,C174,$E$6:$E$370)," / ",SUMIF($C$6:$C$370,C174,$E$6:$E$370))</f>
        <v>0 / 9</v>
      </c>
      <c r="G174" s="28" t="str">
        <f>CONCATENATE(SUMIF($D$6:$D174,D174,$E$6:$E$370)," / ",SUMIF($D$6:$D$370,D174,$E$6:$E$370))</f>
        <v>98 / 165</v>
      </c>
      <c r="H174" s="28" t="str">
        <f>CONCATENATE(SUM($E$6:$E174)," / ",SUM($E$6:$E$370))</f>
        <v>1148 / 1280</v>
      </c>
      <c r="I174" s="209">
        <f>SUM($E$6:$E174)/(1+B174-B$6)</f>
        <v>6.7928994082840237</v>
      </c>
      <c r="J174" s="24"/>
      <c r="K174" s="24"/>
      <c r="L174" s="24"/>
    </row>
    <row r="175" spans="2:12" ht="13" thickBot="1">
      <c r="B175" s="123">
        <f t="shared" si="8"/>
        <v>42174</v>
      </c>
      <c r="C175" s="124">
        <f t="shared" si="6"/>
        <v>25</v>
      </c>
      <c r="D175" s="124">
        <f t="shared" si="7"/>
        <v>6</v>
      </c>
      <c r="E175" s="198">
        <f>SUMIF('SORTIES 2015'!B140:B203,B175,'SORTIES 2015'!E140:E203)</f>
        <v>9</v>
      </c>
      <c r="F175" s="28" t="str">
        <f>CONCATENATE(SUMIF($C$6:$C175,C175,$E$6:$E$370)," / ",SUMIF($C$6:$C$370,C175,$E$6:$E$370))</f>
        <v>9 / 9</v>
      </c>
      <c r="G175" s="28" t="str">
        <f>CONCATENATE(SUMIF($D$6:$D175,D175,$E$6:$E$370)," / ",SUMIF($D$6:$D$370,D175,$E$6:$E$370))</f>
        <v>107 / 165</v>
      </c>
      <c r="H175" s="28" t="str">
        <f>CONCATENATE(SUM($E$6:$E175)," / ",SUM($E$6:$E$370))</f>
        <v>1157 / 1280</v>
      </c>
      <c r="I175" s="209">
        <f>SUM($E$6:$E175)/(1+B175-B$6)</f>
        <v>6.8058823529411763</v>
      </c>
      <c r="J175" s="24"/>
      <c r="K175" s="24"/>
      <c r="L175" s="24"/>
    </row>
    <row r="176" spans="2:12" ht="13" thickBot="1">
      <c r="B176" s="123">
        <f t="shared" si="8"/>
        <v>42175</v>
      </c>
      <c r="C176" s="124">
        <f t="shared" si="6"/>
        <v>25</v>
      </c>
      <c r="D176" s="124">
        <f t="shared" si="7"/>
        <v>6</v>
      </c>
      <c r="E176" s="198">
        <f>SUMIF('SORTIES 2015'!B141:B204,B176,'SORTIES 2015'!E141:E204)</f>
        <v>0</v>
      </c>
      <c r="F176" s="28" t="str">
        <f>CONCATENATE(SUMIF($C$6:$C176,C176,$E$6:$E$370)," / ",SUMIF($C$6:$C$370,C176,$E$6:$E$370))</f>
        <v>9 / 9</v>
      </c>
      <c r="G176" s="28" t="str">
        <f>CONCATENATE(SUMIF($D$6:$D176,D176,$E$6:$E$370)," / ",SUMIF($D$6:$D$370,D176,$E$6:$E$370))</f>
        <v>107 / 165</v>
      </c>
      <c r="H176" s="28" t="str">
        <f>CONCATENATE(SUM($E$6:$E176)," / ",SUM($E$6:$E$370))</f>
        <v>1157 / 1280</v>
      </c>
      <c r="I176" s="209">
        <f>SUM($E$6:$E176)/(1+B176-B$6)</f>
        <v>6.7660818713450288</v>
      </c>
      <c r="J176" s="24"/>
      <c r="K176" s="24"/>
      <c r="L176" s="24"/>
    </row>
    <row r="177" spans="2:12" ht="13" thickBot="1">
      <c r="B177" s="123">
        <f t="shared" si="8"/>
        <v>42176</v>
      </c>
      <c r="C177" s="124">
        <f t="shared" si="6"/>
        <v>26</v>
      </c>
      <c r="D177" s="124">
        <f t="shared" si="7"/>
        <v>6</v>
      </c>
      <c r="E177" s="198">
        <f>SUMIF('SORTIES 2015'!B142:B205,B177,'SORTIES 2015'!E142:E205)</f>
        <v>23</v>
      </c>
      <c r="F177" s="28" t="str">
        <f>CONCATENATE(SUMIF($C$6:$C177,C177,$E$6:$E$370)," / ",SUMIF($C$6:$C$370,C177,$E$6:$E$370))</f>
        <v>23 / 53</v>
      </c>
      <c r="G177" s="28" t="str">
        <f>CONCATENATE(SUMIF($D$6:$D177,D177,$E$6:$E$370)," / ",SUMIF($D$6:$D$370,D177,$E$6:$E$370))</f>
        <v>130 / 165</v>
      </c>
      <c r="H177" s="28" t="str">
        <f>CONCATENATE(SUM($E$6:$E177)," / ",SUM($E$6:$E$370))</f>
        <v>1180 / 1280</v>
      </c>
      <c r="I177" s="209">
        <f>SUM($E$6:$E177)/(1+B177-B$6)</f>
        <v>6.8604651162790695</v>
      </c>
      <c r="J177" s="24"/>
      <c r="K177" s="24"/>
      <c r="L177" s="24"/>
    </row>
    <row r="178" spans="2:12" ht="13" thickBot="1">
      <c r="B178" s="123">
        <f t="shared" si="8"/>
        <v>42177</v>
      </c>
      <c r="C178" s="124">
        <f t="shared" si="6"/>
        <v>26</v>
      </c>
      <c r="D178" s="124">
        <f t="shared" si="7"/>
        <v>6</v>
      </c>
      <c r="E178" s="198">
        <f>SUMIF('SORTIES 2015'!B143:B206,B178,'SORTIES 2015'!E143:E206)</f>
        <v>0</v>
      </c>
      <c r="F178" s="28" t="str">
        <f>CONCATENATE(SUMIF($C$6:$C178,C178,$E$6:$E$370)," / ",SUMIF($C$6:$C$370,C178,$E$6:$E$370))</f>
        <v>23 / 53</v>
      </c>
      <c r="G178" s="28" t="str">
        <f>CONCATENATE(SUMIF($D$6:$D178,D178,$E$6:$E$370)," / ",SUMIF($D$6:$D$370,D178,$E$6:$E$370))</f>
        <v>130 / 165</v>
      </c>
      <c r="H178" s="28" t="str">
        <f>CONCATENATE(SUM($E$6:$E178)," / ",SUM($E$6:$E$370))</f>
        <v>1180 / 1280</v>
      </c>
      <c r="I178" s="209">
        <f>SUM($E$6:$E178)/(1+B178-B$6)</f>
        <v>6.8208092485549132</v>
      </c>
      <c r="J178" s="24"/>
      <c r="K178" s="24"/>
      <c r="L178" s="24"/>
    </row>
    <row r="179" spans="2:12" ht="13" thickBot="1">
      <c r="B179" s="123">
        <f t="shared" si="8"/>
        <v>42178</v>
      </c>
      <c r="C179" s="124">
        <f t="shared" si="6"/>
        <v>26</v>
      </c>
      <c r="D179" s="124">
        <f t="shared" si="7"/>
        <v>6</v>
      </c>
      <c r="E179" s="198">
        <f>SUMIF('SORTIES 2015'!B144:B207,B179,'SORTIES 2015'!E144:E207)</f>
        <v>0</v>
      </c>
      <c r="F179" s="28" t="str">
        <f>CONCATENATE(SUMIF($C$6:$C179,C179,$E$6:$E$370)," / ",SUMIF($C$6:$C$370,C179,$E$6:$E$370))</f>
        <v>23 / 53</v>
      </c>
      <c r="G179" s="28" t="str">
        <f>CONCATENATE(SUMIF($D$6:$D179,D179,$E$6:$E$370)," / ",SUMIF($D$6:$D$370,D179,$E$6:$E$370))</f>
        <v>130 / 165</v>
      </c>
      <c r="H179" s="28" t="str">
        <f>CONCATENATE(SUM($E$6:$E179)," / ",SUM($E$6:$E$370))</f>
        <v>1180 / 1280</v>
      </c>
      <c r="I179" s="209">
        <f>SUM($E$6:$E179)/(1+B179-B$6)</f>
        <v>6.7816091954022992</v>
      </c>
      <c r="J179" s="24"/>
      <c r="K179" s="24"/>
      <c r="L179" s="24"/>
    </row>
    <row r="180" spans="2:12" ht="13" thickBot="1">
      <c r="B180" s="123">
        <f t="shared" si="8"/>
        <v>42179</v>
      </c>
      <c r="C180" s="124">
        <f t="shared" si="6"/>
        <v>26</v>
      </c>
      <c r="D180" s="124">
        <f t="shared" si="7"/>
        <v>6</v>
      </c>
      <c r="E180" s="198">
        <f>SUMIF('SORTIES 2015'!B145:B208,B180,'SORTIES 2015'!E145:E208)</f>
        <v>0</v>
      </c>
      <c r="F180" s="28" t="str">
        <f>CONCATENATE(SUMIF($C$6:$C180,C180,$E$6:$E$370)," / ",SUMIF($C$6:$C$370,C180,$E$6:$E$370))</f>
        <v>23 / 53</v>
      </c>
      <c r="G180" s="28" t="str">
        <f>CONCATENATE(SUMIF($D$6:$D180,D180,$E$6:$E$370)," / ",SUMIF($D$6:$D$370,D180,$E$6:$E$370))</f>
        <v>130 / 165</v>
      </c>
      <c r="H180" s="28" t="str">
        <f>CONCATENATE(SUM($E$6:$E180)," / ",SUM($E$6:$E$370))</f>
        <v>1180 / 1280</v>
      </c>
      <c r="I180" s="209">
        <f>SUM($E$6:$E180)/(1+B180-B$6)</f>
        <v>6.7428571428571429</v>
      </c>
      <c r="J180" s="24"/>
      <c r="K180" s="24"/>
      <c r="L180" s="24"/>
    </row>
    <row r="181" spans="2:12" ht="13" thickBot="1">
      <c r="B181" s="123">
        <f t="shared" si="8"/>
        <v>42180</v>
      </c>
      <c r="C181" s="124">
        <f t="shared" si="6"/>
        <v>26</v>
      </c>
      <c r="D181" s="124">
        <f t="shared" si="7"/>
        <v>6</v>
      </c>
      <c r="E181" s="198">
        <f>SUMIF('SORTIES 2015'!B146:B209,B181,'SORTIES 2015'!E146:E209)</f>
        <v>15</v>
      </c>
      <c r="F181" s="28" t="str">
        <f>CONCATENATE(SUMIF($C$6:$C181,C181,$E$6:$E$370)," / ",SUMIF($C$6:$C$370,C181,$E$6:$E$370))</f>
        <v>38 / 53</v>
      </c>
      <c r="G181" s="28" t="str">
        <f>CONCATENATE(SUMIF($D$6:$D181,D181,$E$6:$E$370)," / ",SUMIF($D$6:$D$370,D181,$E$6:$E$370))</f>
        <v>145 / 165</v>
      </c>
      <c r="H181" s="28" t="str">
        <f>CONCATENATE(SUM($E$6:$E181)," / ",SUM($E$6:$E$370))</f>
        <v>1195 / 1280</v>
      </c>
      <c r="I181" s="209">
        <f>SUM($E$6:$E181)/(1+B181-B$6)</f>
        <v>6.7897727272727275</v>
      </c>
      <c r="J181" s="24"/>
      <c r="K181" s="24"/>
      <c r="L181" s="24"/>
    </row>
    <row r="182" spans="2:12" ht="13" thickBot="1">
      <c r="B182" s="123">
        <f t="shared" si="8"/>
        <v>42181</v>
      </c>
      <c r="C182" s="124">
        <f t="shared" si="6"/>
        <v>26</v>
      </c>
      <c r="D182" s="124">
        <f t="shared" si="7"/>
        <v>6</v>
      </c>
      <c r="E182" s="198">
        <f>SUMIF('SORTIES 2015'!B147:B210,B182,'SORTIES 2015'!E147:E210)</f>
        <v>0</v>
      </c>
      <c r="F182" s="28" t="str">
        <f>CONCATENATE(SUMIF($C$6:$C182,C182,$E$6:$E$370)," / ",SUMIF($C$6:$C$370,C182,$E$6:$E$370))</f>
        <v>38 / 53</v>
      </c>
      <c r="G182" s="28" t="str">
        <f>CONCATENATE(SUMIF($D$6:$D182,D182,$E$6:$E$370)," / ",SUMIF($D$6:$D$370,D182,$E$6:$E$370))</f>
        <v>145 / 165</v>
      </c>
      <c r="H182" s="28" t="str">
        <f>CONCATENATE(SUM($E$6:$E182)," / ",SUM($E$6:$E$370))</f>
        <v>1195 / 1280</v>
      </c>
      <c r="I182" s="209">
        <f>SUM($E$6:$E182)/(1+B182-B$6)</f>
        <v>6.7514124293785311</v>
      </c>
      <c r="J182" s="24"/>
      <c r="K182" s="24"/>
      <c r="L182" s="24"/>
    </row>
    <row r="183" spans="2:12" ht="13" thickBot="1">
      <c r="B183" s="123">
        <f t="shared" si="8"/>
        <v>42182</v>
      </c>
      <c r="C183" s="124">
        <f t="shared" si="6"/>
        <v>26</v>
      </c>
      <c r="D183" s="124">
        <f t="shared" si="7"/>
        <v>6</v>
      </c>
      <c r="E183" s="198">
        <f>SUMIF('SORTIES 2015'!B148:B211,B183,'SORTIES 2015'!E148:E211)</f>
        <v>15</v>
      </c>
      <c r="F183" s="28" t="str">
        <f>CONCATENATE(SUMIF($C$6:$C183,C183,$E$6:$E$370)," / ",SUMIF($C$6:$C$370,C183,$E$6:$E$370))</f>
        <v>53 / 53</v>
      </c>
      <c r="G183" s="28" t="str">
        <f>CONCATENATE(SUMIF($D$6:$D183,D183,$E$6:$E$370)," / ",SUMIF($D$6:$D$370,D183,$E$6:$E$370))</f>
        <v>160 / 165</v>
      </c>
      <c r="H183" s="28" t="str">
        <f>CONCATENATE(SUM($E$6:$E183)," / ",SUM($E$6:$E$370))</f>
        <v>1210 / 1280</v>
      </c>
      <c r="I183" s="209">
        <f>SUM($E$6:$E183)/(1+B183-B$6)</f>
        <v>6.797752808988764</v>
      </c>
      <c r="J183" s="24"/>
      <c r="K183" s="24"/>
      <c r="L183" s="24"/>
    </row>
    <row r="184" spans="2:12" ht="13" thickBot="1">
      <c r="B184" s="123">
        <f t="shared" si="8"/>
        <v>42183</v>
      </c>
      <c r="C184" s="124">
        <f t="shared" si="6"/>
        <v>27</v>
      </c>
      <c r="D184" s="124">
        <f t="shared" si="7"/>
        <v>6</v>
      </c>
      <c r="E184" s="198">
        <f>SUMIF('SORTIES 2015'!B149:B212,B184,'SORTIES 2015'!E149:E212)</f>
        <v>0</v>
      </c>
      <c r="F184" s="28" t="str">
        <f>CONCATENATE(SUMIF($C$6:$C184,C184,$E$6:$E$370)," / ",SUMIF($C$6:$C$370,C184,$E$6:$E$370))</f>
        <v>0 / 22</v>
      </c>
      <c r="G184" s="28" t="str">
        <f>CONCATENATE(SUMIF($D$6:$D184,D184,$E$6:$E$370)," / ",SUMIF($D$6:$D$370,D184,$E$6:$E$370))</f>
        <v>160 / 165</v>
      </c>
      <c r="H184" s="28" t="str">
        <f>CONCATENATE(SUM($E$6:$E184)," / ",SUM($E$6:$E$370))</f>
        <v>1210 / 1280</v>
      </c>
      <c r="I184" s="209">
        <f>SUM($E$6:$E184)/(1+B184-B$6)</f>
        <v>6.7597765363128488</v>
      </c>
      <c r="J184" s="24"/>
      <c r="K184" s="24"/>
      <c r="L184" s="24"/>
    </row>
    <row r="185" spans="2:12" ht="13" thickBot="1">
      <c r="B185" s="123">
        <f t="shared" si="8"/>
        <v>42184</v>
      </c>
      <c r="C185" s="124">
        <f t="shared" si="6"/>
        <v>27</v>
      </c>
      <c r="D185" s="124">
        <f t="shared" si="7"/>
        <v>6</v>
      </c>
      <c r="E185" s="198">
        <f>SUMIF('SORTIES 2015'!B150:B213,B185,'SORTIES 2015'!E150:E213)</f>
        <v>5</v>
      </c>
      <c r="F185" s="28" t="str">
        <f>CONCATENATE(SUMIF($C$6:$C185,C185,$E$6:$E$370)," / ",SUMIF($C$6:$C$370,C185,$E$6:$E$370))</f>
        <v>5 / 22</v>
      </c>
      <c r="G185" s="28" t="str">
        <f>CONCATENATE(SUMIF($D$6:$D185,D185,$E$6:$E$370)," / ",SUMIF($D$6:$D$370,D185,$E$6:$E$370))</f>
        <v>165 / 165</v>
      </c>
      <c r="H185" s="28" t="str">
        <f>CONCATENATE(SUM($E$6:$E185)," / ",SUM($E$6:$E$370))</f>
        <v>1215 / 1280</v>
      </c>
      <c r="I185" s="209">
        <f>SUM($E$6:$E185)/(1+B185-B$6)</f>
        <v>6.75</v>
      </c>
      <c r="J185" s="24"/>
      <c r="K185" s="24"/>
      <c r="L185" s="24"/>
    </row>
    <row r="186" spans="2:12" ht="13" thickBot="1">
      <c r="B186" s="123">
        <f t="shared" si="8"/>
        <v>42185</v>
      </c>
      <c r="C186" s="124">
        <f t="shared" si="6"/>
        <v>27</v>
      </c>
      <c r="D186" s="124">
        <f t="shared" si="7"/>
        <v>6</v>
      </c>
      <c r="E186" s="198">
        <f>SUMIF('SORTIES 2015'!B151:B214,B186,'SORTIES 2015'!E151:E214)</f>
        <v>0</v>
      </c>
      <c r="F186" s="28" t="str">
        <f>CONCATENATE(SUMIF($C$6:$C186,C186,$E$6:$E$370)," / ",SUMIF($C$6:$C$370,C186,$E$6:$E$370))</f>
        <v>5 / 22</v>
      </c>
      <c r="G186" s="28" t="str">
        <f>CONCATENATE(SUMIF($D$6:$D186,D186,$E$6:$E$370)," / ",SUMIF($D$6:$D$370,D186,$E$6:$E$370))</f>
        <v>165 / 165</v>
      </c>
      <c r="H186" s="28" t="str">
        <f>CONCATENATE(SUM($E$6:$E186)," / ",SUM($E$6:$E$370))</f>
        <v>1215 / 1280</v>
      </c>
      <c r="I186" s="209">
        <f>SUM($E$6:$E186)/(1+B186-B$6)</f>
        <v>6.7127071823204423</v>
      </c>
      <c r="J186" s="24"/>
      <c r="K186" s="24"/>
      <c r="L186" s="24"/>
    </row>
    <row r="187" spans="2:12" ht="13" thickBot="1">
      <c r="B187" s="123">
        <f t="shared" si="8"/>
        <v>42186</v>
      </c>
      <c r="C187" s="124">
        <f t="shared" si="6"/>
        <v>27</v>
      </c>
      <c r="D187" s="124">
        <f t="shared" si="7"/>
        <v>7</v>
      </c>
      <c r="E187" s="198">
        <f>SUMIF('SORTIES 2015'!B152:B215,B187,'SORTIES 2015'!E152:E215)</f>
        <v>0</v>
      </c>
      <c r="F187" s="28" t="str">
        <f>CONCATENATE(SUMIF($C$6:$C187,C187,$E$6:$E$370)," / ",SUMIF($C$6:$C$370,C187,$E$6:$E$370))</f>
        <v>5 / 22</v>
      </c>
      <c r="G187" s="28" t="str">
        <f>CONCATENATE(SUMIF($D$6:$D187,D187,$E$6:$E$370)," / ",SUMIF($D$6:$D$370,D187,$E$6:$E$370))</f>
        <v>0 / 65</v>
      </c>
      <c r="H187" s="28" t="str">
        <f>CONCATENATE(SUM($E$6:$E187)," / ",SUM($E$6:$E$370))</f>
        <v>1215 / 1280</v>
      </c>
      <c r="I187" s="209">
        <f>SUM($E$6:$E187)/(1+B187-B$6)</f>
        <v>6.6758241758241761</v>
      </c>
      <c r="J187" s="24"/>
      <c r="K187" s="24"/>
      <c r="L187" s="24"/>
    </row>
    <row r="188" spans="2:12" ht="13" thickBot="1">
      <c r="B188" s="123">
        <f t="shared" si="8"/>
        <v>42187</v>
      </c>
      <c r="C188" s="124">
        <f t="shared" si="6"/>
        <v>27</v>
      </c>
      <c r="D188" s="124">
        <f t="shared" si="7"/>
        <v>7</v>
      </c>
      <c r="E188" s="198">
        <f>SUMIF('SORTIES 2015'!B153:B216,B188,'SORTIES 2015'!E153:E216)</f>
        <v>0</v>
      </c>
      <c r="F188" s="28" t="str">
        <f>CONCATENATE(SUMIF($C$6:$C188,C188,$E$6:$E$370)," / ",SUMIF($C$6:$C$370,C188,$E$6:$E$370))</f>
        <v>5 / 22</v>
      </c>
      <c r="G188" s="28" t="str">
        <f>CONCATENATE(SUMIF($D$6:$D188,D188,$E$6:$E$370)," / ",SUMIF($D$6:$D$370,D188,$E$6:$E$370))</f>
        <v>0 / 65</v>
      </c>
      <c r="H188" s="28" t="str">
        <f>CONCATENATE(SUM($E$6:$E188)," / ",SUM($E$6:$E$370))</f>
        <v>1215 / 1280</v>
      </c>
      <c r="I188" s="209">
        <f>SUM($E$6:$E188)/(1+B188-B$6)</f>
        <v>6.639344262295082</v>
      </c>
      <c r="J188" s="24"/>
      <c r="K188" s="24"/>
      <c r="L188" s="24"/>
    </row>
    <row r="189" spans="2:12" ht="13" thickBot="1">
      <c r="B189" s="123">
        <f t="shared" si="8"/>
        <v>42188</v>
      </c>
      <c r="C189" s="124">
        <f t="shared" si="6"/>
        <v>27</v>
      </c>
      <c r="D189" s="124">
        <f t="shared" si="7"/>
        <v>7</v>
      </c>
      <c r="E189" s="198">
        <f>SUMIF('SORTIES 2015'!B154:B217,B189,'SORTIES 2015'!E154:E217)</f>
        <v>0</v>
      </c>
      <c r="F189" s="28" t="str">
        <f>CONCATENATE(SUMIF($C$6:$C189,C189,$E$6:$E$370)," / ",SUMIF($C$6:$C$370,C189,$E$6:$E$370))</f>
        <v>5 / 22</v>
      </c>
      <c r="G189" s="28" t="str">
        <f>CONCATENATE(SUMIF($D$6:$D189,D189,$E$6:$E$370)," / ",SUMIF($D$6:$D$370,D189,$E$6:$E$370))</f>
        <v>0 / 65</v>
      </c>
      <c r="H189" s="28" t="str">
        <f>CONCATENATE(SUM($E$6:$E189)," / ",SUM($E$6:$E$370))</f>
        <v>1215 / 1280</v>
      </c>
      <c r="I189" s="209">
        <f>SUM($E$6:$E189)/(1+B189-B$6)</f>
        <v>6.6032608695652177</v>
      </c>
      <c r="J189" s="24"/>
      <c r="K189" s="24"/>
      <c r="L189" s="24"/>
    </row>
    <row r="190" spans="2:12" ht="13" thickBot="1">
      <c r="B190" s="123">
        <f t="shared" si="8"/>
        <v>42189</v>
      </c>
      <c r="C190" s="124">
        <f t="shared" si="6"/>
        <v>27</v>
      </c>
      <c r="D190" s="124">
        <f t="shared" si="7"/>
        <v>7</v>
      </c>
      <c r="E190" s="198">
        <f>SUMIF('SORTIES 2015'!B155:B218,B190,'SORTIES 2015'!E155:E218)</f>
        <v>17</v>
      </c>
      <c r="F190" s="28" t="str">
        <f>CONCATENATE(SUMIF($C$6:$C190,C190,$E$6:$E$370)," / ",SUMIF($C$6:$C$370,C190,$E$6:$E$370))</f>
        <v>22 / 22</v>
      </c>
      <c r="G190" s="28" t="str">
        <f>CONCATENATE(SUMIF($D$6:$D190,D190,$E$6:$E$370)," / ",SUMIF($D$6:$D$370,D190,$E$6:$E$370))</f>
        <v>17 / 65</v>
      </c>
      <c r="H190" s="28" t="str">
        <f>CONCATENATE(SUM($E$6:$E190)," / ",SUM($E$6:$E$370))</f>
        <v>1232 / 1280</v>
      </c>
      <c r="I190" s="209">
        <f>SUM($E$6:$E190)/(1+B190-B$6)</f>
        <v>6.6594594594594598</v>
      </c>
      <c r="J190" s="24"/>
      <c r="K190" s="24"/>
      <c r="L190" s="24"/>
    </row>
    <row r="191" spans="2:12" ht="13" thickBot="1">
      <c r="B191" s="123">
        <f t="shared" si="8"/>
        <v>42190</v>
      </c>
      <c r="C191" s="124">
        <f t="shared" si="6"/>
        <v>28</v>
      </c>
      <c r="D191" s="124">
        <f t="shared" si="7"/>
        <v>7</v>
      </c>
      <c r="E191" s="198">
        <f>SUMIF('SORTIES 2015'!B156:B219,B191,'SORTIES 2015'!E156:E219)</f>
        <v>0</v>
      </c>
      <c r="F191" s="28" t="str">
        <f>CONCATENATE(SUMIF($C$6:$C191,C191,$E$6:$E$370)," / ",SUMIF($C$6:$C$370,C191,$E$6:$E$370))</f>
        <v>0 / 48</v>
      </c>
      <c r="G191" s="28" t="str">
        <f>CONCATENATE(SUMIF($D$6:$D191,D191,$E$6:$E$370)," / ",SUMIF($D$6:$D$370,D191,$E$6:$E$370))</f>
        <v>17 / 65</v>
      </c>
      <c r="H191" s="28" t="str">
        <f>CONCATENATE(SUM($E$6:$E191)," / ",SUM($E$6:$E$370))</f>
        <v>1232 / 1280</v>
      </c>
      <c r="I191" s="209">
        <f>SUM($E$6:$E191)/(1+B191-B$6)</f>
        <v>6.623655913978495</v>
      </c>
      <c r="J191" s="24"/>
      <c r="K191" s="24"/>
      <c r="L191" s="24"/>
    </row>
    <row r="192" spans="2:12" ht="13" thickBot="1">
      <c r="B192" s="123">
        <f t="shared" si="8"/>
        <v>42191</v>
      </c>
      <c r="C192" s="124">
        <f t="shared" si="6"/>
        <v>28</v>
      </c>
      <c r="D192" s="124">
        <f t="shared" si="7"/>
        <v>7</v>
      </c>
      <c r="E192" s="198">
        <f>SUMIF('SORTIES 2015'!B157:B220,B192,'SORTIES 2015'!E157:E220)</f>
        <v>16</v>
      </c>
      <c r="F192" s="28" t="str">
        <f>CONCATENATE(SUMIF($C$6:$C192,C192,$E$6:$E$370)," / ",SUMIF($C$6:$C$370,C192,$E$6:$E$370))</f>
        <v>16 / 48</v>
      </c>
      <c r="G192" s="28" t="str">
        <f>CONCATENATE(SUMIF($D$6:$D192,D192,$E$6:$E$370)," / ",SUMIF($D$6:$D$370,D192,$E$6:$E$370))</f>
        <v>33 / 65</v>
      </c>
      <c r="H192" s="28" t="str">
        <f>CONCATENATE(SUM($E$6:$E192)," / ",SUM($E$6:$E$370))</f>
        <v>1248 / 1280</v>
      </c>
      <c r="I192" s="209">
        <f>SUM($E$6:$E192)/(1+B192-B$6)</f>
        <v>6.6737967914438503</v>
      </c>
      <c r="J192" s="24"/>
      <c r="K192" s="24"/>
      <c r="L192" s="24"/>
    </row>
    <row r="193" spans="2:12" ht="13" thickBot="1">
      <c r="B193" s="123">
        <f t="shared" si="8"/>
        <v>42192</v>
      </c>
      <c r="C193" s="124">
        <f t="shared" si="6"/>
        <v>28</v>
      </c>
      <c r="D193" s="124">
        <f t="shared" si="7"/>
        <v>7</v>
      </c>
      <c r="E193" s="198">
        <f>SUMIF('SORTIES 2015'!B158:B221,B193,'SORTIES 2015'!E158:E221)</f>
        <v>0</v>
      </c>
      <c r="F193" s="28" t="str">
        <f>CONCATENATE(SUMIF($C$6:$C193,C193,$E$6:$E$370)," / ",SUMIF($C$6:$C$370,C193,$E$6:$E$370))</f>
        <v>16 / 48</v>
      </c>
      <c r="G193" s="28" t="str">
        <f>CONCATENATE(SUMIF($D$6:$D193,D193,$E$6:$E$370)," / ",SUMIF($D$6:$D$370,D193,$E$6:$E$370))</f>
        <v>33 / 65</v>
      </c>
      <c r="H193" s="28" t="str">
        <f>CONCATENATE(SUM($E$6:$E193)," / ",SUM($E$6:$E$370))</f>
        <v>1248 / 1280</v>
      </c>
      <c r="I193" s="209">
        <f>SUM($E$6:$E193)/(1+B193-B$6)</f>
        <v>6.6382978723404253</v>
      </c>
      <c r="J193" s="24"/>
      <c r="K193" s="24"/>
      <c r="L193" s="24"/>
    </row>
    <row r="194" spans="2:12" ht="13" thickBot="1">
      <c r="B194" s="123">
        <f t="shared" si="8"/>
        <v>42193</v>
      </c>
      <c r="C194" s="124">
        <f t="shared" si="6"/>
        <v>28</v>
      </c>
      <c r="D194" s="124">
        <f t="shared" si="7"/>
        <v>7</v>
      </c>
      <c r="E194" s="198">
        <f>SUMIF('SORTIES 2015'!B159:B222,B194,'SORTIES 2015'!E159:E222)</f>
        <v>0</v>
      </c>
      <c r="F194" s="28" t="str">
        <f>CONCATENATE(SUMIF($C$6:$C194,C194,$E$6:$E$370)," / ",SUMIF($C$6:$C$370,C194,$E$6:$E$370))</f>
        <v>16 / 48</v>
      </c>
      <c r="G194" s="28" t="str">
        <f>CONCATENATE(SUMIF($D$6:$D194,D194,$E$6:$E$370)," / ",SUMIF($D$6:$D$370,D194,$E$6:$E$370))</f>
        <v>33 / 65</v>
      </c>
      <c r="H194" s="28" t="str">
        <f>CONCATENATE(SUM($E$6:$E194)," / ",SUM($E$6:$E$370))</f>
        <v>1248 / 1280</v>
      </c>
      <c r="I194" s="209">
        <f>SUM($E$6:$E194)/(1+B194-B$6)</f>
        <v>6.6031746031746028</v>
      </c>
      <c r="J194" s="24"/>
      <c r="K194" s="24"/>
      <c r="L194" s="24"/>
    </row>
    <row r="195" spans="2:12" ht="13" thickBot="1">
      <c r="B195" s="123">
        <f t="shared" si="8"/>
        <v>42194</v>
      </c>
      <c r="C195" s="124">
        <f t="shared" si="6"/>
        <v>28</v>
      </c>
      <c r="D195" s="124">
        <f t="shared" si="7"/>
        <v>7</v>
      </c>
      <c r="E195" s="198">
        <f>SUMIF('SORTIES 2015'!B160:B223,B195,'SORTIES 2015'!E160:E223)</f>
        <v>14</v>
      </c>
      <c r="F195" s="28" t="str">
        <f>CONCATENATE(SUMIF($C$6:$C195,C195,$E$6:$E$370)," / ",SUMIF($C$6:$C$370,C195,$E$6:$E$370))</f>
        <v>30 / 48</v>
      </c>
      <c r="G195" s="28" t="str">
        <f>CONCATENATE(SUMIF($D$6:$D195,D195,$E$6:$E$370)," / ",SUMIF($D$6:$D$370,D195,$E$6:$E$370))</f>
        <v>47 / 65</v>
      </c>
      <c r="H195" s="28" t="str">
        <f>CONCATENATE(SUM($E$6:$E195)," / ",SUM($E$6:$E$370))</f>
        <v>1262 / 1280</v>
      </c>
      <c r="I195" s="209">
        <f>SUM($E$6:$E195)/(1+B195-B$6)</f>
        <v>6.6421052631578945</v>
      </c>
      <c r="J195" s="24"/>
      <c r="K195" s="24"/>
      <c r="L195" s="24"/>
    </row>
    <row r="196" spans="2:12" ht="13" thickBot="1">
      <c r="B196" s="123">
        <f t="shared" si="8"/>
        <v>42195</v>
      </c>
      <c r="C196" s="124">
        <f t="shared" si="6"/>
        <v>28</v>
      </c>
      <c r="D196" s="124">
        <f t="shared" si="7"/>
        <v>7</v>
      </c>
      <c r="E196" s="198">
        <f>SUMIF('SORTIES 2015'!B161:B224,B196,'SORTIES 2015'!E161:E224)</f>
        <v>0</v>
      </c>
      <c r="F196" s="28" t="str">
        <f>CONCATENATE(SUMIF($C$6:$C196,C196,$E$6:$E$370)," / ",SUMIF($C$6:$C$370,C196,$E$6:$E$370))</f>
        <v>30 / 48</v>
      </c>
      <c r="G196" s="28" t="str">
        <f>CONCATENATE(SUMIF($D$6:$D196,D196,$E$6:$E$370)," / ",SUMIF($D$6:$D$370,D196,$E$6:$E$370))</f>
        <v>47 / 65</v>
      </c>
      <c r="H196" s="28" t="str">
        <f>CONCATENATE(SUM($E$6:$E196)," / ",SUM($E$6:$E$370))</f>
        <v>1262 / 1280</v>
      </c>
      <c r="I196" s="209">
        <f>SUM($E$6:$E196)/(1+B196-B$6)</f>
        <v>6.6073298429319376</v>
      </c>
      <c r="J196" s="24"/>
      <c r="K196" s="24"/>
      <c r="L196" s="24"/>
    </row>
    <row r="197" spans="2:12" ht="13" thickBot="1">
      <c r="B197" s="123">
        <f t="shared" si="8"/>
        <v>42196</v>
      </c>
      <c r="C197" s="124">
        <f t="shared" si="6"/>
        <v>28</v>
      </c>
      <c r="D197" s="124">
        <f t="shared" si="7"/>
        <v>7</v>
      </c>
      <c r="E197" s="198">
        <f>SUMIF('SORTIES 2015'!B162:B225,B197,'SORTIES 2015'!E162:E225)</f>
        <v>18</v>
      </c>
      <c r="F197" s="28" t="str">
        <f>CONCATENATE(SUMIF($C$6:$C197,C197,$E$6:$E$370)," / ",SUMIF($C$6:$C$370,C197,$E$6:$E$370))</f>
        <v>48 / 48</v>
      </c>
      <c r="G197" s="28" t="str">
        <f>CONCATENATE(SUMIF($D$6:$D197,D197,$E$6:$E$370)," / ",SUMIF($D$6:$D$370,D197,$E$6:$E$370))</f>
        <v>65 / 65</v>
      </c>
      <c r="H197" s="28" t="str">
        <f>CONCATENATE(SUM($E$6:$E197)," / ",SUM($E$6:$E$370))</f>
        <v>1280 / 1280</v>
      </c>
      <c r="I197" s="209">
        <f>SUM($E$6:$E197)/(1+B197-B$6)</f>
        <v>6.666666666666667</v>
      </c>
      <c r="J197" s="24"/>
      <c r="K197" s="24"/>
      <c r="L197" s="24"/>
    </row>
    <row r="198" spans="2:12" ht="13" thickBot="1">
      <c r="B198" s="123">
        <f t="shared" si="8"/>
        <v>42197</v>
      </c>
      <c r="C198" s="124">
        <f t="shared" si="6"/>
        <v>29</v>
      </c>
      <c r="D198" s="124">
        <f t="shared" si="7"/>
        <v>7</v>
      </c>
      <c r="E198" s="28">
        <v>0</v>
      </c>
      <c r="F198" s="28" t="str">
        <f>CONCATENATE(SUMIF($C$6:$C198,C198,$E$6:$E$370)," / ",SUMIF($C$6:$C$370,C198,$E$6:$E$370))</f>
        <v>0 / 0</v>
      </c>
      <c r="G198" s="28" t="str">
        <f>CONCATENATE(SUMIF($D$6:$D198,D198,$E$6:$E$370)," / ",SUMIF($D$6:$D$370,D198,$E$6:$E$370))</f>
        <v>65 / 65</v>
      </c>
      <c r="H198" s="28" t="str">
        <f>CONCATENATE(SUM($E$6:$E198)," / ",SUM($E$6:$E$370))</f>
        <v>1280 / 1280</v>
      </c>
      <c r="I198" s="209">
        <f>SUM($E$6:$E198)/(1+B198-B$6)</f>
        <v>6.6321243523316058</v>
      </c>
      <c r="J198" s="24"/>
      <c r="K198" s="24"/>
      <c r="L198" s="24"/>
    </row>
    <row r="199" spans="2:12" ht="13" thickBot="1">
      <c r="B199" s="123">
        <f t="shared" si="8"/>
        <v>42198</v>
      </c>
      <c r="C199" s="124">
        <f t="shared" ref="C199:C262" si="9">WEEKNUM($B199)</f>
        <v>29</v>
      </c>
      <c r="D199" s="124">
        <f t="shared" ref="D199:D262" si="10">MONTH(B199)</f>
        <v>7</v>
      </c>
      <c r="E199" s="28">
        <v>0</v>
      </c>
      <c r="F199" s="28" t="str">
        <f>CONCATENATE(SUMIF($C$6:$C199,C199,$E$6:$E$370)," / ",SUMIF($C$6:$C$370,C199,$E$6:$E$370))</f>
        <v>0 / 0</v>
      </c>
      <c r="G199" s="28" t="str">
        <f>CONCATENATE(SUMIF($D$6:$D199,D199,$E$6:$E$370)," / ",SUMIF($D$6:$D$370,D199,$E$6:$E$370))</f>
        <v>65 / 65</v>
      </c>
      <c r="H199" s="28" t="str">
        <f>CONCATENATE(SUM($E$6:$E199)," / ",SUM($E$6:$E$370))</f>
        <v>1280 / 1280</v>
      </c>
      <c r="I199" s="209">
        <f>SUM($E$6:$E199)/(1+B199-B$6)</f>
        <v>6.5979381443298966</v>
      </c>
      <c r="J199" s="24"/>
      <c r="K199" s="24"/>
      <c r="L199" s="24"/>
    </row>
    <row r="200" spans="2:12" ht="13" thickBot="1">
      <c r="B200" s="123">
        <f t="shared" ref="B200:B263" si="11">B199+1</f>
        <v>42199</v>
      </c>
      <c r="C200" s="124">
        <f t="shared" si="9"/>
        <v>29</v>
      </c>
      <c r="D200" s="124">
        <f t="shared" si="10"/>
        <v>7</v>
      </c>
      <c r="E200" s="28">
        <v>0</v>
      </c>
      <c r="F200" s="28" t="str">
        <f>CONCATENATE(SUMIF($C$6:$C200,C200,$E$6:$E$370)," / ",SUMIF($C$6:$C$370,C200,$E$6:$E$370))</f>
        <v>0 / 0</v>
      </c>
      <c r="G200" s="28" t="str">
        <f>CONCATENATE(SUMIF($D$6:$D200,D200,$E$6:$E$370)," / ",SUMIF($D$6:$D$370,D200,$E$6:$E$370))</f>
        <v>65 / 65</v>
      </c>
      <c r="H200" s="28" t="str">
        <f>CONCATENATE(SUM($E$6:$E200)," / ",SUM($E$6:$E$370))</f>
        <v>1280 / 1280</v>
      </c>
      <c r="I200" s="209">
        <f>SUM($E$6:$E200)/(1+B200-B$6)</f>
        <v>6.5641025641025639</v>
      </c>
      <c r="J200" s="24"/>
      <c r="K200" s="24"/>
      <c r="L200" s="24"/>
    </row>
    <row r="201" spans="2:12" ht="13" thickBot="1">
      <c r="B201" s="123">
        <f t="shared" si="11"/>
        <v>42200</v>
      </c>
      <c r="C201" s="124">
        <f t="shared" si="9"/>
        <v>29</v>
      </c>
      <c r="D201" s="124">
        <f t="shared" si="10"/>
        <v>7</v>
      </c>
      <c r="E201" s="28">
        <v>0</v>
      </c>
      <c r="F201" s="28" t="str">
        <f>CONCATENATE(SUMIF($C$6:$C201,C201,$E$6:$E$370)," / ",SUMIF($C$6:$C$370,C201,$E$6:$E$370))</f>
        <v>0 / 0</v>
      </c>
      <c r="G201" s="28" t="str">
        <f>CONCATENATE(SUMIF($D$6:$D201,D201,$E$6:$E$370)," / ",SUMIF($D$6:$D$370,D201,$E$6:$E$370))</f>
        <v>65 / 65</v>
      </c>
      <c r="H201" s="28" t="str">
        <f>CONCATENATE(SUM($E$6:$E201)," / ",SUM($E$6:$E$370))</f>
        <v>1280 / 1280</v>
      </c>
      <c r="I201" s="209">
        <f>SUM($E$6:$E201)/(1+B201-B$6)</f>
        <v>6.5306122448979593</v>
      </c>
      <c r="J201" s="24"/>
      <c r="K201" s="24"/>
      <c r="L201" s="24"/>
    </row>
    <row r="202" spans="2:12" ht="13" thickBot="1">
      <c r="B202" s="123">
        <f t="shared" si="11"/>
        <v>42201</v>
      </c>
      <c r="C202" s="124">
        <f t="shared" si="9"/>
        <v>29</v>
      </c>
      <c r="D202" s="124">
        <f t="shared" si="10"/>
        <v>7</v>
      </c>
      <c r="E202" s="28">
        <v>0</v>
      </c>
      <c r="F202" s="28" t="str">
        <f>CONCATENATE(SUMIF($C$6:$C202,C202,$E$6:$E$370)," / ",SUMIF($C$6:$C$370,C202,$E$6:$E$370))</f>
        <v>0 / 0</v>
      </c>
      <c r="G202" s="28" t="str">
        <f>CONCATENATE(SUMIF($D$6:$D202,D202,$E$6:$E$370)," / ",SUMIF($D$6:$D$370,D202,$E$6:$E$370))</f>
        <v>65 / 65</v>
      </c>
      <c r="H202" s="28" t="str">
        <f>CONCATENATE(SUM($E$6:$E202)," / ",SUM($E$6:$E$370))</f>
        <v>1280 / 1280</v>
      </c>
      <c r="I202" s="209">
        <f>SUM($E$6:$E202)/(1+B202-B$6)</f>
        <v>6.4974619289340101</v>
      </c>
      <c r="J202" s="24"/>
      <c r="K202" s="24"/>
      <c r="L202" s="24"/>
    </row>
    <row r="203" spans="2:12" ht="13" thickBot="1">
      <c r="B203" s="123">
        <f t="shared" si="11"/>
        <v>42202</v>
      </c>
      <c r="C203" s="124">
        <f t="shared" si="9"/>
        <v>29</v>
      </c>
      <c r="D203" s="124">
        <f t="shared" si="10"/>
        <v>7</v>
      </c>
      <c r="E203" s="28">
        <v>0</v>
      </c>
      <c r="F203" s="28" t="str">
        <f>CONCATENATE(SUMIF($C$6:$C203,C203,$E$6:$E$370)," / ",SUMIF($C$6:$C$370,C203,$E$6:$E$370))</f>
        <v>0 / 0</v>
      </c>
      <c r="G203" s="28" t="str">
        <f>CONCATENATE(SUMIF($D$6:$D203,D203,$E$6:$E$370)," / ",SUMIF($D$6:$D$370,D203,$E$6:$E$370))</f>
        <v>65 / 65</v>
      </c>
      <c r="H203" s="28" t="str">
        <f>CONCATENATE(SUM($E$6:$E203)," / ",SUM($E$6:$E$370))</f>
        <v>1280 / 1280</v>
      </c>
      <c r="I203" s="209">
        <f>SUM($E$6:$E203)/(1+B203-B$6)</f>
        <v>6.4646464646464645</v>
      </c>
      <c r="J203" s="24"/>
      <c r="K203" s="24"/>
      <c r="L203" s="24"/>
    </row>
    <row r="204" spans="2:12" ht="13" thickBot="1">
      <c r="B204" s="123">
        <f t="shared" si="11"/>
        <v>42203</v>
      </c>
      <c r="C204" s="124">
        <f t="shared" si="9"/>
        <v>29</v>
      </c>
      <c r="D204" s="124">
        <f t="shared" si="10"/>
        <v>7</v>
      </c>
      <c r="E204" s="28">
        <v>0</v>
      </c>
      <c r="F204" s="28" t="str">
        <f>CONCATENATE(SUMIF($C$6:$C204,C204,$E$6:$E$370)," / ",SUMIF($C$6:$C$370,C204,$E$6:$E$370))</f>
        <v>0 / 0</v>
      </c>
      <c r="G204" s="28" t="str">
        <f>CONCATENATE(SUMIF($D$6:$D204,D204,$E$6:$E$370)," / ",SUMIF($D$6:$D$370,D204,$E$6:$E$370))</f>
        <v>65 / 65</v>
      </c>
      <c r="H204" s="28" t="str">
        <f>CONCATENATE(SUM($E$6:$E204)," / ",SUM($E$6:$E$370))</f>
        <v>1280 / 1280</v>
      </c>
      <c r="I204" s="209">
        <f>SUM($E$6:$E204)/(1+B204-B$6)</f>
        <v>6.4321608040201008</v>
      </c>
      <c r="J204" s="24"/>
      <c r="K204" s="24"/>
      <c r="L204" s="24"/>
    </row>
    <row r="205" spans="2:12" ht="13" thickBot="1">
      <c r="B205" s="123">
        <f t="shared" si="11"/>
        <v>42204</v>
      </c>
      <c r="C205" s="124">
        <f t="shared" si="9"/>
        <v>30</v>
      </c>
      <c r="D205" s="124">
        <f t="shared" si="10"/>
        <v>7</v>
      </c>
      <c r="E205" s="28">
        <v>0</v>
      </c>
      <c r="F205" s="28" t="str">
        <f>CONCATENATE(SUMIF($C$6:$C205,C205,$E$6:$E$370)," / ",SUMIF($C$6:$C$370,C205,$E$6:$E$370))</f>
        <v>0 / 0</v>
      </c>
      <c r="G205" s="28" t="str">
        <f>CONCATENATE(SUMIF($D$6:$D205,D205,$E$6:$E$370)," / ",SUMIF($D$6:$D$370,D205,$E$6:$E$370))</f>
        <v>65 / 65</v>
      </c>
      <c r="H205" s="28" t="str">
        <f>CONCATENATE(SUM($E$6:$E205)," / ",SUM($E$6:$E$370))</f>
        <v>1280 / 1280</v>
      </c>
      <c r="I205" s="209">
        <f>SUM($E$6:$E205)/(1+B205-B$6)</f>
        <v>6.4</v>
      </c>
      <c r="J205" s="24"/>
      <c r="K205" s="24"/>
      <c r="L205" s="24"/>
    </row>
    <row r="206" spans="2:12" ht="13" thickBot="1">
      <c r="B206" s="123">
        <f t="shared" si="11"/>
        <v>42205</v>
      </c>
      <c r="C206" s="124">
        <f t="shared" si="9"/>
        <v>30</v>
      </c>
      <c r="D206" s="124">
        <f t="shared" si="10"/>
        <v>7</v>
      </c>
      <c r="E206" s="28">
        <v>0</v>
      </c>
      <c r="F206" s="28" t="str">
        <f>CONCATENATE(SUMIF($C$6:$C206,C206,$E$6:$E$370)," / ",SUMIF($C$6:$C$370,C206,$E$6:$E$370))</f>
        <v>0 / 0</v>
      </c>
      <c r="G206" s="28" t="str">
        <f>CONCATENATE(SUMIF($D$6:$D206,D206,$E$6:$E$370)," / ",SUMIF($D$6:$D$370,D206,$E$6:$E$370))</f>
        <v>65 / 65</v>
      </c>
      <c r="H206" s="28" t="str">
        <f>CONCATENATE(SUM($E$6:$E206)," / ",SUM($E$6:$E$370))</f>
        <v>1280 / 1280</v>
      </c>
      <c r="I206" s="209">
        <f>SUM($E$6:$E206)/(1+B206-B$6)</f>
        <v>6.3681592039800998</v>
      </c>
      <c r="J206" s="24"/>
      <c r="K206" s="24"/>
      <c r="L206" s="24"/>
    </row>
    <row r="207" spans="2:12" ht="13" thickBot="1">
      <c r="B207" s="123">
        <f t="shared" si="11"/>
        <v>42206</v>
      </c>
      <c r="C207" s="124">
        <f t="shared" si="9"/>
        <v>30</v>
      </c>
      <c r="D207" s="124">
        <f t="shared" si="10"/>
        <v>7</v>
      </c>
      <c r="E207" s="28">
        <v>0</v>
      </c>
      <c r="F207" s="28" t="str">
        <f>CONCATENATE(SUMIF($C$6:$C207,C207,$E$6:$E$370)," / ",SUMIF($C$6:$C$370,C207,$E$6:$E$370))</f>
        <v>0 / 0</v>
      </c>
      <c r="G207" s="28" t="str">
        <f>CONCATENATE(SUMIF($D$6:$D207,D207,$E$6:$E$370)," / ",SUMIF($D$6:$D$370,D207,$E$6:$E$370))</f>
        <v>65 / 65</v>
      </c>
      <c r="H207" s="28" t="str">
        <f>CONCATENATE(SUM($E$6:$E207)," / ",SUM($E$6:$E$370))</f>
        <v>1280 / 1280</v>
      </c>
      <c r="I207" s="209">
        <f>SUM($E$6:$E207)/(1+B207-B$6)</f>
        <v>6.3366336633663369</v>
      </c>
      <c r="J207" s="24"/>
      <c r="K207" s="24"/>
      <c r="L207" s="24"/>
    </row>
    <row r="208" spans="2:12" ht="13" thickBot="1">
      <c r="B208" s="123">
        <f t="shared" si="11"/>
        <v>42207</v>
      </c>
      <c r="C208" s="124">
        <f t="shared" si="9"/>
        <v>30</v>
      </c>
      <c r="D208" s="124">
        <f t="shared" si="10"/>
        <v>7</v>
      </c>
      <c r="E208" s="28">
        <v>0</v>
      </c>
      <c r="F208" s="28" t="str">
        <f>CONCATENATE(SUMIF($C$6:$C208,C208,$E$6:$E$370)," / ",SUMIF($C$6:$C$370,C208,$E$6:$E$370))</f>
        <v>0 / 0</v>
      </c>
      <c r="G208" s="28" t="str">
        <f>CONCATENATE(SUMIF($D$6:$D208,D208,$E$6:$E$370)," / ",SUMIF($D$6:$D$370,D208,$E$6:$E$370))</f>
        <v>65 / 65</v>
      </c>
      <c r="H208" s="28" t="str">
        <f>CONCATENATE(SUM($E$6:$E208)," / ",SUM($E$6:$E$370))</f>
        <v>1280 / 1280</v>
      </c>
      <c r="I208" s="209">
        <f>SUM($E$6:$E208)/(1+B208-B$6)</f>
        <v>6.305418719211823</v>
      </c>
      <c r="J208" s="24"/>
      <c r="K208" s="24"/>
      <c r="L208" s="24"/>
    </row>
    <row r="209" spans="2:12" ht="13" thickBot="1">
      <c r="B209" s="123">
        <f t="shared" si="11"/>
        <v>42208</v>
      </c>
      <c r="C209" s="124">
        <f t="shared" si="9"/>
        <v>30</v>
      </c>
      <c r="D209" s="124">
        <f t="shared" si="10"/>
        <v>7</v>
      </c>
      <c r="E209" s="28">
        <v>0</v>
      </c>
      <c r="F209" s="28" t="str">
        <f>CONCATENATE(SUMIF($C$6:$C209,C209,$E$6:$E$370)," / ",SUMIF($C$6:$C$370,C209,$E$6:$E$370))</f>
        <v>0 / 0</v>
      </c>
      <c r="G209" s="28" t="str">
        <f>CONCATENATE(SUMIF($D$6:$D209,D209,$E$6:$E$370)," / ",SUMIF($D$6:$D$370,D209,$E$6:$E$370))</f>
        <v>65 / 65</v>
      </c>
      <c r="H209" s="28" t="str">
        <f>CONCATENATE(SUM($E$6:$E209)," / ",SUM($E$6:$E$370))</f>
        <v>1280 / 1280</v>
      </c>
      <c r="I209" s="209">
        <f>SUM($E$6:$E209)/(1+B209-B$6)</f>
        <v>6.2745098039215685</v>
      </c>
      <c r="J209" s="24"/>
      <c r="K209" s="24"/>
      <c r="L209" s="24"/>
    </row>
    <row r="210" spans="2:12" ht="13" thickBot="1">
      <c r="B210" s="123">
        <f t="shared" si="11"/>
        <v>42209</v>
      </c>
      <c r="C210" s="124">
        <f t="shared" si="9"/>
        <v>30</v>
      </c>
      <c r="D210" s="124">
        <f t="shared" si="10"/>
        <v>7</v>
      </c>
      <c r="E210" s="28">
        <v>0</v>
      </c>
      <c r="F210" s="28" t="str">
        <f>CONCATENATE(SUMIF($C$6:$C210,C210,$E$6:$E$370)," / ",SUMIF($C$6:$C$370,C210,$E$6:$E$370))</f>
        <v>0 / 0</v>
      </c>
      <c r="G210" s="28" t="str">
        <f>CONCATENATE(SUMIF($D$6:$D210,D210,$E$6:$E$370)," / ",SUMIF($D$6:$D$370,D210,$E$6:$E$370))</f>
        <v>65 / 65</v>
      </c>
      <c r="H210" s="28" t="str">
        <f>CONCATENATE(SUM($E$6:$E210)," / ",SUM($E$6:$E$370))</f>
        <v>1280 / 1280</v>
      </c>
      <c r="I210" s="209">
        <f>SUM($E$6:$E210)/(1+B210-B$6)</f>
        <v>6.2439024390243905</v>
      </c>
      <c r="J210" s="24"/>
      <c r="K210" s="24"/>
      <c r="L210" s="24"/>
    </row>
    <row r="211" spans="2:12" ht="13" thickBot="1">
      <c r="B211" s="123">
        <f t="shared" si="11"/>
        <v>42210</v>
      </c>
      <c r="C211" s="124">
        <f t="shared" si="9"/>
        <v>30</v>
      </c>
      <c r="D211" s="124">
        <f t="shared" si="10"/>
        <v>7</v>
      </c>
      <c r="E211" s="28">
        <v>0</v>
      </c>
      <c r="F211" s="28" t="str">
        <f>CONCATENATE(SUMIF($C$6:$C211,C211,$E$6:$E$370)," / ",SUMIF($C$6:$C$370,C211,$E$6:$E$370))</f>
        <v>0 / 0</v>
      </c>
      <c r="G211" s="28" t="str">
        <f>CONCATENATE(SUMIF($D$6:$D211,D211,$E$6:$E$370)," / ",SUMIF($D$6:$D$370,D211,$E$6:$E$370))</f>
        <v>65 / 65</v>
      </c>
      <c r="H211" s="28" t="str">
        <f>CONCATENATE(SUM($E$6:$E211)," / ",SUM($E$6:$E$370))</f>
        <v>1280 / 1280</v>
      </c>
      <c r="I211" s="209">
        <f>SUM($E$6:$E211)/(1+B211-B$6)</f>
        <v>6.2135922330097086</v>
      </c>
      <c r="J211" s="24"/>
      <c r="K211" s="24"/>
      <c r="L211" s="24"/>
    </row>
    <row r="212" spans="2:12" ht="13" thickBot="1">
      <c r="B212" s="123">
        <f t="shared" si="11"/>
        <v>42211</v>
      </c>
      <c r="C212" s="124">
        <f t="shared" si="9"/>
        <v>31</v>
      </c>
      <c r="D212" s="124">
        <f t="shared" si="10"/>
        <v>7</v>
      </c>
      <c r="E212" s="28">
        <v>0</v>
      </c>
      <c r="F212" s="28" t="str">
        <f>CONCATENATE(SUMIF($C$6:$C212,C212,$E$6:$E$370)," / ",SUMIF($C$6:$C$370,C212,$E$6:$E$370))</f>
        <v>0 / 0</v>
      </c>
      <c r="G212" s="28" t="str">
        <f>CONCATENATE(SUMIF($D$6:$D212,D212,$E$6:$E$370)," / ",SUMIF($D$6:$D$370,D212,$E$6:$E$370))</f>
        <v>65 / 65</v>
      </c>
      <c r="H212" s="28" t="str">
        <f>CONCATENATE(SUM($E$6:$E212)," / ",SUM($E$6:$E$370))</f>
        <v>1280 / 1280</v>
      </c>
      <c r="I212" s="209">
        <f>SUM($E$6:$E212)/(1+B212-B$6)</f>
        <v>6.1835748792270531</v>
      </c>
      <c r="J212" s="24"/>
      <c r="K212" s="24"/>
      <c r="L212" s="24"/>
    </row>
    <row r="213" spans="2:12" ht="13" thickBot="1">
      <c r="B213" s="123">
        <f t="shared" si="11"/>
        <v>42212</v>
      </c>
      <c r="C213" s="124">
        <f t="shared" si="9"/>
        <v>31</v>
      </c>
      <c r="D213" s="124">
        <f t="shared" si="10"/>
        <v>7</v>
      </c>
      <c r="E213" s="28">
        <v>0</v>
      </c>
      <c r="F213" s="28" t="str">
        <f>CONCATENATE(SUMIF($C$6:$C213,C213,$E$6:$E$370)," / ",SUMIF($C$6:$C$370,C213,$E$6:$E$370))</f>
        <v>0 / 0</v>
      </c>
      <c r="G213" s="28" t="str">
        <f>CONCATENATE(SUMIF($D$6:$D213,D213,$E$6:$E$370)," / ",SUMIF($D$6:$D$370,D213,$E$6:$E$370))</f>
        <v>65 / 65</v>
      </c>
      <c r="H213" s="28" t="str">
        <f>CONCATENATE(SUM($E$6:$E213)," / ",SUM($E$6:$E$370))</f>
        <v>1280 / 1280</v>
      </c>
      <c r="I213" s="209">
        <f>SUM($E$6:$E213)/(1+B213-B$6)</f>
        <v>6.1538461538461542</v>
      </c>
      <c r="J213" s="24"/>
      <c r="K213" s="24"/>
      <c r="L213" s="24"/>
    </row>
    <row r="214" spans="2:12" ht="13" thickBot="1">
      <c r="B214" s="123">
        <f t="shared" si="11"/>
        <v>42213</v>
      </c>
      <c r="C214" s="124">
        <f t="shared" si="9"/>
        <v>31</v>
      </c>
      <c r="D214" s="124">
        <f t="shared" si="10"/>
        <v>7</v>
      </c>
      <c r="E214" s="28">
        <v>0</v>
      </c>
      <c r="F214" s="28" t="str">
        <f>CONCATENATE(SUMIF($C$6:$C214,C214,$E$6:$E$370)," / ",SUMIF($C$6:$C$370,C214,$E$6:$E$370))</f>
        <v>0 / 0</v>
      </c>
      <c r="G214" s="28" t="str">
        <f>CONCATENATE(SUMIF($D$6:$D214,D214,$E$6:$E$370)," / ",SUMIF($D$6:$D$370,D214,$E$6:$E$370))</f>
        <v>65 / 65</v>
      </c>
      <c r="H214" s="28" t="str">
        <f>CONCATENATE(SUM($E$6:$E214)," / ",SUM($E$6:$E$370))</f>
        <v>1280 / 1280</v>
      </c>
      <c r="I214" s="209">
        <f>SUM($E$6:$E214)/(1+B214-B$6)</f>
        <v>6.1244019138755981</v>
      </c>
      <c r="J214" s="24"/>
      <c r="K214" s="24"/>
      <c r="L214" s="24"/>
    </row>
    <row r="215" spans="2:12" ht="13" thickBot="1">
      <c r="B215" s="123">
        <f t="shared" si="11"/>
        <v>42214</v>
      </c>
      <c r="C215" s="124">
        <f t="shared" si="9"/>
        <v>31</v>
      </c>
      <c r="D215" s="124">
        <f t="shared" si="10"/>
        <v>7</v>
      </c>
      <c r="E215" s="28">
        <v>0</v>
      </c>
      <c r="F215" s="28" t="str">
        <f>CONCATENATE(SUMIF($C$6:$C215,C215,$E$6:$E$370)," / ",SUMIF($C$6:$C$370,C215,$E$6:$E$370))</f>
        <v>0 / 0</v>
      </c>
      <c r="G215" s="28" t="str">
        <f>CONCATENATE(SUMIF($D$6:$D215,D215,$E$6:$E$370)," / ",SUMIF($D$6:$D$370,D215,$E$6:$E$370))</f>
        <v>65 / 65</v>
      </c>
      <c r="H215" s="28" t="str">
        <f>CONCATENATE(SUM($E$6:$E215)," / ",SUM($E$6:$E$370))</f>
        <v>1280 / 1280</v>
      </c>
      <c r="I215" s="209">
        <f>SUM($E$6:$E215)/(1+B215-B$6)</f>
        <v>6.0952380952380949</v>
      </c>
      <c r="J215" s="24"/>
      <c r="K215" s="24"/>
      <c r="L215" s="24"/>
    </row>
    <row r="216" spans="2:12" ht="13" thickBot="1">
      <c r="B216" s="123">
        <f t="shared" si="11"/>
        <v>42215</v>
      </c>
      <c r="C216" s="124">
        <f t="shared" si="9"/>
        <v>31</v>
      </c>
      <c r="D216" s="124">
        <f t="shared" si="10"/>
        <v>7</v>
      </c>
      <c r="E216" s="28">
        <v>0</v>
      </c>
      <c r="F216" s="28" t="str">
        <f>CONCATENATE(SUMIF($C$6:$C216,C216,$E$6:$E$370)," / ",SUMIF($C$6:$C$370,C216,$E$6:$E$370))</f>
        <v>0 / 0</v>
      </c>
      <c r="G216" s="28" t="str">
        <f>CONCATENATE(SUMIF($D$6:$D216,D216,$E$6:$E$370)," / ",SUMIF($D$6:$D$370,D216,$E$6:$E$370))</f>
        <v>65 / 65</v>
      </c>
      <c r="H216" s="28" t="str">
        <f>CONCATENATE(SUM($E$6:$E216)," / ",SUM($E$6:$E$370))</f>
        <v>1280 / 1280</v>
      </c>
      <c r="I216" s="209">
        <f>SUM($E$6:$E216)/(1+B216-B$6)</f>
        <v>6.0663507109004735</v>
      </c>
      <c r="J216" s="24"/>
      <c r="K216" s="24"/>
      <c r="L216" s="24"/>
    </row>
    <row r="217" spans="2:12" ht="13" thickBot="1">
      <c r="B217" s="123">
        <f t="shared" si="11"/>
        <v>42216</v>
      </c>
      <c r="C217" s="124">
        <f t="shared" si="9"/>
        <v>31</v>
      </c>
      <c r="D217" s="124">
        <f t="shared" si="10"/>
        <v>7</v>
      </c>
      <c r="E217" s="28">
        <v>0</v>
      </c>
      <c r="F217" s="28" t="str">
        <f>CONCATENATE(SUMIF($C$6:$C217,C217,$E$6:$E$370)," / ",SUMIF($C$6:$C$370,C217,$E$6:$E$370))</f>
        <v>0 / 0</v>
      </c>
      <c r="G217" s="28" t="str">
        <f>CONCATENATE(SUMIF($D$6:$D217,D217,$E$6:$E$370)," / ",SUMIF($D$6:$D$370,D217,$E$6:$E$370))</f>
        <v>65 / 65</v>
      </c>
      <c r="H217" s="28" t="str">
        <f>CONCATENATE(SUM($E$6:$E217)," / ",SUM($E$6:$E$370))</f>
        <v>1280 / 1280</v>
      </c>
      <c r="I217" s="209">
        <f>SUM($E$6:$E217)/(1+B217-B$6)</f>
        <v>6.0377358490566042</v>
      </c>
      <c r="J217" s="24"/>
      <c r="K217" s="24"/>
      <c r="L217" s="24"/>
    </row>
    <row r="218" spans="2:12" ht="13" thickBot="1">
      <c r="B218" s="123">
        <f t="shared" si="11"/>
        <v>42217</v>
      </c>
      <c r="C218" s="124">
        <f t="shared" si="9"/>
        <v>31</v>
      </c>
      <c r="D218" s="124">
        <f t="shared" si="10"/>
        <v>8</v>
      </c>
      <c r="E218" s="28">
        <v>0</v>
      </c>
      <c r="F218" s="28" t="str">
        <f>CONCATENATE(SUMIF($C$6:$C218,C218,$E$6:$E$370)," / ",SUMIF($C$6:$C$370,C218,$E$6:$E$370))</f>
        <v>0 / 0</v>
      </c>
      <c r="G218" s="28" t="str">
        <f>CONCATENATE(SUMIF($D$6:$D218,D218,$E$6:$E$370)," / ",SUMIF($D$6:$D$370,D218,$E$6:$E$370))</f>
        <v>0 / 0</v>
      </c>
      <c r="H218" s="28" t="str">
        <f>CONCATENATE(SUM($E$6:$E218)," / ",SUM($E$6:$E$370))</f>
        <v>1280 / 1280</v>
      </c>
      <c r="I218" s="209">
        <f>SUM($E$6:$E218)/(1+B218-B$6)</f>
        <v>6.009389671361502</v>
      </c>
      <c r="J218" s="24"/>
      <c r="K218" s="24"/>
      <c r="L218" s="24"/>
    </row>
    <row r="219" spans="2:12" ht="13" thickBot="1">
      <c r="B219" s="123">
        <f t="shared" si="11"/>
        <v>42218</v>
      </c>
      <c r="C219" s="124">
        <f t="shared" si="9"/>
        <v>32</v>
      </c>
      <c r="D219" s="124">
        <f t="shared" si="10"/>
        <v>8</v>
      </c>
      <c r="E219" s="28">
        <v>0</v>
      </c>
      <c r="F219" s="28" t="str">
        <f>CONCATENATE(SUMIF($C$6:$C219,C219,$E$6:$E$370)," / ",SUMIF($C$6:$C$370,C219,$E$6:$E$370))</f>
        <v>0 / 0</v>
      </c>
      <c r="G219" s="28" t="str">
        <f>CONCATENATE(SUMIF($D$6:$D219,D219,$E$6:$E$370)," / ",SUMIF($D$6:$D$370,D219,$E$6:$E$370))</f>
        <v>0 / 0</v>
      </c>
      <c r="H219" s="28" t="str">
        <f>CONCATENATE(SUM($E$6:$E219)," / ",SUM($E$6:$E$370))</f>
        <v>1280 / 1280</v>
      </c>
      <c r="I219" s="209">
        <f>SUM($E$6:$E219)/(1+B219-B$6)</f>
        <v>5.981308411214953</v>
      </c>
      <c r="J219" s="24"/>
      <c r="K219" s="24"/>
      <c r="L219" s="24"/>
    </row>
    <row r="220" spans="2:12" ht="13" thickBot="1">
      <c r="B220" s="123">
        <f t="shared" si="11"/>
        <v>42219</v>
      </c>
      <c r="C220" s="124">
        <f t="shared" si="9"/>
        <v>32</v>
      </c>
      <c r="D220" s="124">
        <f t="shared" si="10"/>
        <v>8</v>
      </c>
      <c r="E220" s="28">
        <v>0</v>
      </c>
      <c r="F220" s="28" t="str">
        <f>CONCATENATE(SUMIF($C$6:$C220,C220,$E$6:$E$370)," / ",SUMIF($C$6:$C$370,C220,$E$6:$E$370))</f>
        <v>0 / 0</v>
      </c>
      <c r="G220" s="28" t="str">
        <f>CONCATENATE(SUMIF($D$6:$D220,D220,$E$6:$E$370)," / ",SUMIF($D$6:$D$370,D220,$E$6:$E$370))</f>
        <v>0 / 0</v>
      </c>
      <c r="H220" s="28" t="str">
        <f>CONCATENATE(SUM($E$6:$E220)," / ",SUM($E$6:$E$370))</f>
        <v>1280 / 1280</v>
      </c>
      <c r="I220" s="209">
        <f>SUM($E$6:$E220)/(1+B220-B$6)</f>
        <v>5.9534883720930232</v>
      </c>
      <c r="J220" s="24"/>
      <c r="K220" s="24"/>
      <c r="L220" s="24"/>
    </row>
    <row r="221" spans="2:12" ht="13" thickBot="1">
      <c r="B221" s="123">
        <f t="shared" si="11"/>
        <v>42220</v>
      </c>
      <c r="C221" s="124">
        <f t="shared" si="9"/>
        <v>32</v>
      </c>
      <c r="D221" s="124">
        <f t="shared" si="10"/>
        <v>8</v>
      </c>
      <c r="E221" s="28">
        <v>0</v>
      </c>
      <c r="F221" s="28" t="str">
        <f>CONCATENATE(SUMIF($C$6:$C221,C221,$E$6:$E$370)," / ",SUMIF($C$6:$C$370,C221,$E$6:$E$370))</f>
        <v>0 / 0</v>
      </c>
      <c r="G221" s="28" t="str">
        <f>CONCATENATE(SUMIF($D$6:$D221,D221,$E$6:$E$370)," / ",SUMIF($D$6:$D$370,D221,$E$6:$E$370))</f>
        <v>0 / 0</v>
      </c>
      <c r="H221" s="28" t="str">
        <f>CONCATENATE(SUM($E$6:$E221)," / ",SUM($E$6:$E$370))</f>
        <v>1280 / 1280</v>
      </c>
      <c r="I221" s="209">
        <f>SUM($E$6:$E221)/(1+B221-B$6)</f>
        <v>5.9259259259259256</v>
      </c>
      <c r="J221" s="24"/>
      <c r="K221" s="24"/>
      <c r="L221" s="24"/>
    </row>
    <row r="222" spans="2:12" ht="13" thickBot="1">
      <c r="B222" s="123">
        <f t="shared" si="11"/>
        <v>42221</v>
      </c>
      <c r="C222" s="124">
        <f t="shared" si="9"/>
        <v>32</v>
      </c>
      <c r="D222" s="124">
        <f t="shared" si="10"/>
        <v>8</v>
      </c>
      <c r="E222" s="28">
        <v>0</v>
      </c>
      <c r="F222" s="28" t="str">
        <f>CONCATENATE(SUMIF($C$6:$C222,C222,$E$6:$E$370)," / ",SUMIF($C$6:$C$370,C222,$E$6:$E$370))</f>
        <v>0 / 0</v>
      </c>
      <c r="G222" s="28" t="str">
        <f>CONCATENATE(SUMIF($D$6:$D222,D222,$E$6:$E$370)," / ",SUMIF($D$6:$D$370,D222,$E$6:$E$370))</f>
        <v>0 / 0</v>
      </c>
      <c r="H222" s="28" t="str">
        <f>CONCATENATE(SUM($E$6:$E222)," / ",SUM($E$6:$E$370))</f>
        <v>1280 / 1280</v>
      </c>
      <c r="I222" s="209">
        <f>SUM($E$6:$E222)/(1+B222-B$6)</f>
        <v>5.8986175115207375</v>
      </c>
      <c r="J222" s="24"/>
      <c r="K222" s="24"/>
      <c r="L222" s="24"/>
    </row>
    <row r="223" spans="2:12" ht="13" thickBot="1">
      <c r="B223" s="123">
        <f t="shared" si="11"/>
        <v>42222</v>
      </c>
      <c r="C223" s="124">
        <f t="shared" si="9"/>
        <v>32</v>
      </c>
      <c r="D223" s="124">
        <f t="shared" si="10"/>
        <v>8</v>
      </c>
      <c r="E223" s="28">
        <v>0</v>
      </c>
      <c r="F223" s="28" t="str">
        <f>CONCATENATE(SUMIF($C$6:$C223,C223,$E$6:$E$370)," / ",SUMIF($C$6:$C$370,C223,$E$6:$E$370))</f>
        <v>0 / 0</v>
      </c>
      <c r="G223" s="28" t="str">
        <f>CONCATENATE(SUMIF($D$6:$D223,D223,$E$6:$E$370)," / ",SUMIF($D$6:$D$370,D223,$E$6:$E$370))</f>
        <v>0 / 0</v>
      </c>
      <c r="H223" s="28" t="str">
        <f>CONCATENATE(SUM($E$6:$E223)," / ",SUM($E$6:$E$370))</f>
        <v>1280 / 1280</v>
      </c>
      <c r="I223" s="209">
        <f>SUM($E$6:$E223)/(1+B223-B$6)</f>
        <v>5.8715596330275233</v>
      </c>
      <c r="J223" s="24"/>
      <c r="K223" s="24"/>
      <c r="L223" s="24"/>
    </row>
    <row r="224" spans="2:12" ht="13" thickBot="1">
      <c r="B224" s="123">
        <f t="shared" si="11"/>
        <v>42223</v>
      </c>
      <c r="C224" s="124">
        <f t="shared" si="9"/>
        <v>32</v>
      </c>
      <c r="D224" s="124">
        <f t="shared" si="10"/>
        <v>8</v>
      </c>
      <c r="E224" s="28">
        <v>0</v>
      </c>
      <c r="F224" s="28" t="str">
        <f>CONCATENATE(SUMIF($C$6:$C224,C224,$E$6:$E$370)," / ",SUMIF($C$6:$C$370,C224,$E$6:$E$370))</f>
        <v>0 / 0</v>
      </c>
      <c r="G224" s="28" t="str">
        <f>CONCATENATE(SUMIF($D$6:$D224,D224,$E$6:$E$370)," / ",SUMIF($D$6:$D$370,D224,$E$6:$E$370))</f>
        <v>0 / 0</v>
      </c>
      <c r="H224" s="28" t="str">
        <f>CONCATENATE(SUM($E$6:$E224)," / ",SUM($E$6:$E$370))</f>
        <v>1280 / 1280</v>
      </c>
      <c r="I224" s="209">
        <f>SUM($E$6:$E224)/(1+B224-B$6)</f>
        <v>5.8447488584474883</v>
      </c>
      <c r="J224" s="24"/>
      <c r="K224" s="24"/>
      <c r="L224" s="24"/>
    </row>
    <row r="225" spans="2:12" ht="13" thickBot="1">
      <c r="B225" s="123">
        <f t="shared" si="11"/>
        <v>42224</v>
      </c>
      <c r="C225" s="124">
        <f t="shared" si="9"/>
        <v>32</v>
      </c>
      <c r="D225" s="124">
        <f t="shared" si="10"/>
        <v>8</v>
      </c>
      <c r="E225" s="28">
        <v>0</v>
      </c>
      <c r="F225" s="28" t="str">
        <f>CONCATENATE(SUMIF($C$6:$C225,C225,$E$6:$E$370)," / ",SUMIF($C$6:$C$370,C225,$E$6:$E$370))</f>
        <v>0 / 0</v>
      </c>
      <c r="G225" s="28" t="str">
        <f>CONCATENATE(SUMIF($D$6:$D225,D225,$E$6:$E$370)," / ",SUMIF($D$6:$D$370,D225,$E$6:$E$370))</f>
        <v>0 / 0</v>
      </c>
      <c r="H225" s="28" t="str">
        <f>CONCATENATE(SUM($E$6:$E225)," / ",SUM($E$6:$E$370))</f>
        <v>1280 / 1280</v>
      </c>
      <c r="I225" s="209">
        <f>SUM($E$6:$E225)/(1+B225-B$6)</f>
        <v>5.8181818181818183</v>
      </c>
      <c r="J225" s="24"/>
      <c r="K225" s="24"/>
      <c r="L225" s="24"/>
    </row>
    <row r="226" spans="2:12" ht="13" thickBot="1">
      <c r="B226" s="123">
        <f t="shared" si="11"/>
        <v>42225</v>
      </c>
      <c r="C226" s="124">
        <f t="shared" si="9"/>
        <v>33</v>
      </c>
      <c r="D226" s="124">
        <f t="shared" si="10"/>
        <v>8</v>
      </c>
      <c r="E226" s="28">
        <v>0</v>
      </c>
      <c r="F226" s="28" t="str">
        <f>CONCATENATE(SUMIF($C$6:$C226,C226,$E$6:$E$370)," / ",SUMIF($C$6:$C$370,C226,$E$6:$E$370))</f>
        <v>0 / 0</v>
      </c>
      <c r="G226" s="28" t="str">
        <f>CONCATENATE(SUMIF($D$6:$D226,D226,$E$6:$E$370)," / ",SUMIF($D$6:$D$370,D226,$E$6:$E$370))</f>
        <v>0 / 0</v>
      </c>
      <c r="H226" s="28" t="str">
        <f>CONCATENATE(SUM($E$6:$E226)," / ",SUM($E$6:$E$370))</f>
        <v>1280 / 1280</v>
      </c>
      <c r="I226" s="209">
        <f>SUM($E$6:$E226)/(1+B226-B$6)</f>
        <v>5.7918552036199094</v>
      </c>
      <c r="J226" s="24"/>
      <c r="K226" s="24"/>
      <c r="L226" s="24"/>
    </row>
    <row r="227" spans="2:12" ht="13" thickBot="1">
      <c r="B227" s="123">
        <f t="shared" si="11"/>
        <v>42226</v>
      </c>
      <c r="C227" s="124">
        <f t="shared" si="9"/>
        <v>33</v>
      </c>
      <c r="D227" s="124">
        <f t="shared" si="10"/>
        <v>8</v>
      </c>
      <c r="E227" s="28">
        <v>0</v>
      </c>
      <c r="F227" s="28" t="str">
        <f>CONCATENATE(SUMIF($C$6:$C227,C227,$E$6:$E$370)," / ",SUMIF($C$6:$C$370,C227,$E$6:$E$370))</f>
        <v>0 / 0</v>
      </c>
      <c r="G227" s="28" t="str">
        <f>CONCATENATE(SUMIF($D$6:$D227,D227,$E$6:$E$370)," / ",SUMIF($D$6:$D$370,D227,$E$6:$E$370))</f>
        <v>0 / 0</v>
      </c>
      <c r="H227" s="28" t="str">
        <f>CONCATENATE(SUM($E$6:$E227)," / ",SUM($E$6:$E$370))</f>
        <v>1280 / 1280</v>
      </c>
      <c r="I227" s="209">
        <f>SUM($E$6:$E227)/(1+B227-B$6)</f>
        <v>5.7657657657657655</v>
      </c>
      <c r="J227" s="24"/>
      <c r="K227" s="24"/>
      <c r="L227" s="24"/>
    </row>
    <row r="228" spans="2:12" ht="13" thickBot="1">
      <c r="B228" s="123">
        <f t="shared" si="11"/>
        <v>42227</v>
      </c>
      <c r="C228" s="124">
        <f t="shared" si="9"/>
        <v>33</v>
      </c>
      <c r="D228" s="124">
        <f t="shared" si="10"/>
        <v>8</v>
      </c>
      <c r="E228" s="28">
        <v>0</v>
      </c>
      <c r="F228" s="28" t="str">
        <f>CONCATENATE(SUMIF($C$6:$C228,C228,$E$6:$E$370)," / ",SUMIF($C$6:$C$370,C228,$E$6:$E$370))</f>
        <v>0 / 0</v>
      </c>
      <c r="G228" s="28" t="str">
        <f>CONCATENATE(SUMIF($D$6:$D228,D228,$E$6:$E$370)," / ",SUMIF($D$6:$D$370,D228,$E$6:$E$370))</f>
        <v>0 / 0</v>
      </c>
      <c r="H228" s="28" t="str">
        <f>CONCATENATE(SUM($E$6:$E228)," / ",SUM($E$6:$E$370))</f>
        <v>1280 / 1280</v>
      </c>
      <c r="I228" s="209">
        <f>SUM($E$6:$E228)/(1+B228-B$6)</f>
        <v>5.739910313901345</v>
      </c>
      <c r="J228" s="24"/>
      <c r="K228" s="24"/>
      <c r="L228" s="24"/>
    </row>
    <row r="229" spans="2:12" ht="13" thickBot="1">
      <c r="B229" s="123">
        <f t="shared" si="11"/>
        <v>42228</v>
      </c>
      <c r="C229" s="124">
        <f t="shared" si="9"/>
        <v>33</v>
      </c>
      <c r="D229" s="124">
        <f t="shared" si="10"/>
        <v>8</v>
      </c>
      <c r="E229" s="28">
        <v>0</v>
      </c>
      <c r="F229" s="28" t="str">
        <f>CONCATENATE(SUMIF($C$6:$C229,C229,$E$6:$E$370)," / ",SUMIF($C$6:$C$370,C229,$E$6:$E$370))</f>
        <v>0 / 0</v>
      </c>
      <c r="G229" s="28" t="str">
        <f>CONCATENATE(SUMIF($D$6:$D229,D229,$E$6:$E$370)," / ",SUMIF($D$6:$D$370,D229,$E$6:$E$370))</f>
        <v>0 / 0</v>
      </c>
      <c r="H229" s="28" t="str">
        <f>CONCATENATE(SUM($E$6:$E229)," / ",SUM($E$6:$E$370))</f>
        <v>1280 / 1280</v>
      </c>
      <c r="I229" s="209">
        <f>SUM($E$6:$E229)/(1+B229-B$6)</f>
        <v>5.7142857142857144</v>
      </c>
      <c r="J229" s="24"/>
      <c r="K229" s="24"/>
      <c r="L229" s="24"/>
    </row>
    <row r="230" spans="2:12" ht="13" thickBot="1">
      <c r="B230" s="123">
        <f t="shared" si="11"/>
        <v>42229</v>
      </c>
      <c r="C230" s="124">
        <f t="shared" si="9"/>
        <v>33</v>
      </c>
      <c r="D230" s="124">
        <f t="shared" si="10"/>
        <v>8</v>
      </c>
      <c r="E230" s="28">
        <v>0</v>
      </c>
      <c r="F230" s="28" t="str">
        <f>CONCATENATE(SUMIF($C$6:$C230,C230,$E$6:$E$370)," / ",SUMIF($C$6:$C$370,C230,$E$6:$E$370))</f>
        <v>0 / 0</v>
      </c>
      <c r="G230" s="28" t="str">
        <f>CONCATENATE(SUMIF($D$6:$D230,D230,$E$6:$E$370)," / ",SUMIF($D$6:$D$370,D230,$E$6:$E$370))</f>
        <v>0 / 0</v>
      </c>
      <c r="H230" s="28" t="str">
        <f>CONCATENATE(SUM($E$6:$E230)," / ",SUM($E$6:$E$370))</f>
        <v>1280 / 1280</v>
      </c>
      <c r="I230" s="209">
        <f>SUM($E$6:$E230)/(1+B230-B$6)</f>
        <v>5.6888888888888891</v>
      </c>
      <c r="J230" s="24"/>
      <c r="K230" s="24"/>
      <c r="L230" s="24"/>
    </row>
    <row r="231" spans="2:12" ht="13" thickBot="1">
      <c r="B231" s="123">
        <f t="shared" si="11"/>
        <v>42230</v>
      </c>
      <c r="C231" s="124">
        <f t="shared" si="9"/>
        <v>33</v>
      </c>
      <c r="D231" s="124">
        <f t="shared" si="10"/>
        <v>8</v>
      </c>
      <c r="E231" s="28">
        <v>0</v>
      </c>
      <c r="F231" s="28" t="str">
        <f>CONCATENATE(SUMIF($C$6:$C231,C231,$E$6:$E$370)," / ",SUMIF($C$6:$C$370,C231,$E$6:$E$370))</f>
        <v>0 / 0</v>
      </c>
      <c r="G231" s="28" t="str">
        <f>CONCATENATE(SUMIF($D$6:$D231,D231,$E$6:$E$370)," / ",SUMIF($D$6:$D$370,D231,$E$6:$E$370))</f>
        <v>0 / 0</v>
      </c>
      <c r="H231" s="28" t="str">
        <f>CONCATENATE(SUM($E$6:$E231)," / ",SUM($E$6:$E$370))</f>
        <v>1280 / 1280</v>
      </c>
      <c r="I231" s="209">
        <f>SUM($E$6:$E231)/(1+B231-B$6)</f>
        <v>5.663716814159292</v>
      </c>
      <c r="J231" s="24"/>
      <c r="K231" s="24"/>
      <c r="L231" s="24"/>
    </row>
    <row r="232" spans="2:12" ht="13" thickBot="1">
      <c r="B232" s="123">
        <f t="shared" si="11"/>
        <v>42231</v>
      </c>
      <c r="C232" s="124">
        <f t="shared" si="9"/>
        <v>33</v>
      </c>
      <c r="D232" s="124">
        <f t="shared" si="10"/>
        <v>8</v>
      </c>
      <c r="E232" s="28">
        <v>0</v>
      </c>
      <c r="F232" s="28" t="str">
        <f>CONCATENATE(SUMIF($C$6:$C232,C232,$E$6:$E$370)," / ",SUMIF($C$6:$C$370,C232,$E$6:$E$370))</f>
        <v>0 / 0</v>
      </c>
      <c r="G232" s="28" t="str">
        <f>CONCATENATE(SUMIF($D$6:$D232,D232,$E$6:$E$370)," / ",SUMIF($D$6:$D$370,D232,$E$6:$E$370))</f>
        <v>0 / 0</v>
      </c>
      <c r="H232" s="28" t="str">
        <f>CONCATENATE(SUM($E$6:$E232)," / ",SUM($E$6:$E$370))</f>
        <v>1280 / 1280</v>
      </c>
      <c r="I232" s="209">
        <f>SUM($E$6:$E232)/(1+B232-B$6)</f>
        <v>5.6387665198237888</v>
      </c>
      <c r="J232" s="24"/>
      <c r="K232" s="24"/>
      <c r="L232" s="24"/>
    </row>
    <row r="233" spans="2:12" ht="13" thickBot="1">
      <c r="B233" s="123">
        <f t="shared" si="11"/>
        <v>42232</v>
      </c>
      <c r="C233" s="124">
        <f t="shared" si="9"/>
        <v>34</v>
      </c>
      <c r="D233" s="124">
        <f t="shared" si="10"/>
        <v>8</v>
      </c>
      <c r="E233" s="28">
        <v>0</v>
      </c>
      <c r="F233" s="28" t="str">
        <f>CONCATENATE(SUMIF($C$6:$C233,C233,$E$6:$E$370)," / ",SUMIF($C$6:$C$370,C233,$E$6:$E$370))</f>
        <v>0 / 0</v>
      </c>
      <c r="G233" s="28" t="str">
        <f>CONCATENATE(SUMIF($D$6:$D233,D233,$E$6:$E$370)," / ",SUMIF($D$6:$D$370,D233,$E$6:$E$370))</f>
        <v>0 / 0</v>
      </c>
      <c r="H233" s="28" t="str">
        <f>CONCATENATE(SUM($E$6:$E233)," / ",SUM($E$6:$E$370))</f>
        <v>1280 / 1280</v>
      </c>
      <c r="I233" s="209">
        <f>SUM($E$6:$E233)/(1+B233-B$6)</f>
        <v>5.6140350877192979</v>
      </c>
      <c r="J233" s="24"/>
      <c r="K233" s="24"/>
      <c r="L233" s="24"/>
    </row>
    <row r="234" spans="2:12" ht="13" thickBot="1">
      <c r="B234" s="123">
        <f t="shared" si="11"/>
        <v>42233</v>
      </c>
      <c r="C234" s="124">
        <f t="shared" si="9"/>
        <v>34</v>
      </c>
      <c r="D234" s="124">
        <f t="shared" si="10"/>
        <v>8</v>
      </c>
      <c r="E234" s="28">
        <v>0</v>
      </c>
      <c r="F234" s="28" t="str">
        <f>CONCATENATE(SUMIF($C$6:$C234,C234,$E$6:$E$370)," / ",SUMIF($C$6:$C$370,C234,$E$6:$E$370))</f>
        <v>0 / 0</v>
      </c>
      <c r="G234" s="28" t="str">
        <f>CONCATENATE(SUMIF($D$6:$D234,D234,$E$6:$E$370)," / ",SUMIF($D$6:$D$370,D234,$E$6:$E$370))</f>
        <v>0 / 0</v>
      </c>
      <c r="H234" s="28" t="str">
        <f>CONCATENATE(SUM($E$6:$E234)," / ",SUM($E$6:$E$370))</f>
        <v>1280 / 1280</v>
      </c>
      <c r="I234" s="209">
        <f>SUM($E$6:$E234)/(1+B234-B$6)</f>
        <v>5.5895196506550215</v>
      </c>
      <c r="J234" s="24"/>
      <c r="K234" s="24"/>
      <c r="L234" s="24"/>
    </row>
    <row r="235" spans="2:12" ht="13" thickBot="1">
      <c r="B235" s="123">
        <f t="shared" si="11"/>
        <v>42234</v>
      </c>
      <c r="C235" s="124">
        <f t="shared" si="9"/>
        <v>34</v>
      </c>
      <c r="D235" s="124">
        <f t="shared" si="10"/>
        <v>8</v>
      </c>
      <c r="E235" s="28">
        <v>0</v>
      </c>
      <c r="F235" s="28" t="str">
        <f>CONCATENATE(SUMIF($C$6:$C235,C235,$E$6:$E$370)," / ",SUMIF($C$6:$C$370,C235,$E$6:$E$370))</f>
        <v>0 / 0</v>
      </c>
      <c r="G235" s="28" t="str">
        <f>CONCATENATE(SUMIF($D$6:$D235,D235,$E$6:$E$370)," / ",SUMIF($D$6:$D$370,D235,$E$6:$E$370))</f>
        <v>0 / 0</v>
      </c>
      <c r="H235" s="28" t="str">
        <f>CONCATENATE(SUM($E$6:$E235)," / ",SUM($E$6:$E$370))</f>
        <v>1280 / 1280</v>
      </c>
      <c r="I235" s="209">
        <f>SUM($E$6:$E235)/(1+B235-B$6)</f>
        <v>5.5652173913043477</v>
      </c>
      <c r="J235" s="24"/>
      <c r="K235" s="24"/>
      <c r="L235" s="24"/>
    </row>
    <row r="236" spans="2:12" ht="13" thickBot="1">
      <c r="B236" s="123">
        <f t="shared" si="11"/>
        <v>42235</v>
      </c>
      <c r="C236" s="124">
        <f t="shared" si="9"/>
        <v>34</v>
      </c>
      <c r="D236" s="124">
        <f t="shared" si="10"/>
        <v>8</v>
      </c>
      <c r="E236" s="28">
        <v>0</v>
      </c>
      <c r="F236" s="28" t="str">
        <f>CONCATENATE(SUMIF($C$6:$C236,C236,$E$6:$E$370)," / ",SUMIF($C$6:$C$370,C236,$E$6:$E$370))</f>
        <v>0 / 0</v>
      </c>
      <c r="G236" s="28" t="str">
        <f>CONCATENATE(SUMIF($D$6:$D236,D236,$E$6:$E$370)," / ",SUMIF($D$6:$D$370,D236,$E$6:$E$370))</f>
        <v>0 / 0</v>
      </c>
      <c r="H236" s="28" t="str">
        <f>CONCATENATE(SUM($E$6:$E236)," / ",SUM($E$6:$E$370))</f>
        <v>1280 / 1280</v>
      </c>
      <c r="I236" s="209">
        <f>SUM($E$6:$E236)/(1+B236-B$6)</f>
        <v>5.5411255411255409</v>
      </c>
      <c r="J236" s="24"/>
      <c r="K236" s="24"/>
      <c r="L236" s="24"/>
    </row>
    <row r="237" spans="2:12" ht="13" thickBot="1">
      <c r="B237" s="123">
        <f t="shared" si="11"/>
        <v>42236</v>
      </c>
      <c r="C237" s="124">
        <f t="shared" si="9"/>
        <v>34</v>
      </c>
      <c r="D237" s="124">
        <f t="shared" si="10"/>
        <v>8</v>
      </c>
      <c r="E237" s="28">
        <v>0</v>
      </c>
      <c r="F237" s="28" t="str">
        <f>CONCATENATE(SUMIF($C$6:$C237,C237,$E$6:$E$370)," / ",SUMIF($C$6:$C$370,C237,$E$6:$E$370))</f>
        <v>0 / 0</v>
      </c>
      <c r="G237" s="28" t="str">
        <f>CONCATENATE(SUMIF($D$6:$D237,D237,$E$6:$E$370)," / ",SUMIF($D$6:$D$370,D237,$E$6:$E$370))</f>
        <v>0 / 0</v>
      </c>
      <c r="H237" s="28" t="str">
        <f>CONCATENATE(SUM($E$6:$E237)," / ",SUM($E$6:$E$370))</f>
        <v>1280 / 1280</v>
      </c>
      <c r="I237" s="209">
        <f>SUM($E$6:$E237)/(1+B237-B$6)</f>
        <v>5.5172413793103452</v>
      </c>
      <c r="J237" s="24"/>
      <c r="K237" s="24"/>
      <c r="L237" s="24"/>
    </row>
    <row r="238" spans="2:12" ht="13" thickBot="1">
      <c r="B238" s="123">
        <f t="shared" si="11"/>
        <v>42237</v>
      </c>
      <c r="C238" s="124">
        <f t="shared" si="9"/>
        <v>34</v>
      </c>
      <c r="D238" s="124">
        <f t="shared" si="10"/>
        <v>8</v>
      </c>
      <c r="E238" s="28">
        <v>0</v>
      </c>
      <c r="F238" s="28" t="str">
        <f>CONCATENATE(SUMIF($C$6:$C238,C238,$E$6:$E$370)," / ",SUMIF($C$6:$C$370,C238,$E$6:$E$370))</f>
        <v>0 / 0</v>
      </c>
      <c r="G238" s="28" t="str">
        <f>CONCATENATE(SUMIF($D$6:$D238,D238,$E$6:$E$370)," / ",SUMIF($D$6:$D$370,D238,$E$6:$E$370))</f>
        <v>0 / 0</v>
      </c>
      <c r="H238" s="28" t="str">
        <f>CONCATENATE(SUM($E$6:$E238)," / ",SUM($E$6:$E$370))</f>
        <v>1280 / 1280</v>
      </c>
      <c r="I238" s="209">
        <f>SUM($E$6:$E238)/(1+B238-B$6)</f>
        <v>5.4935622317596566</v>
      </c>
      <c r="J238" s="24"/>
      <c r="K238" s="24"/>
      <c r="L238" s="24"/>
    </row>
    <row r="239" spans="2:12" ht="13" thickBot="1">
      <c r="B239" s="123">
        <f t="shared" si="11"/>
        <v>42238</v>
      </c>
      <c r="C239" s="124">
        <f t="shared" si="9"/>
        <v>34</v>
      </c>
      <c r="D239" s="124">
        <f t="shared" si="10"/>
        <v>8</v>
      </c>
      <c r="E239" s="28">
        <v>0</v>
      </c>
      <c r="F239" s="28" t="str">
        <f>CONCATENATE(SUMIF($C$6:$C239,C239,$E$6:$E$370)," / ",SUMIF($C$6:$C$370,C239,$E$6:$E$370))</f>
        <v>0 / 0</v>
      </c>
      <c r="G239" s="28" t="str">
        <f>CONCATENATE(SUMIF($D$6:$D239,D239,$E$6:$E$370)," / ",SUMIF($D$6:$D$370,D239,$E$6:$E$370))</f>
        <v>0 / 0</v>
      </c>
      <c r="H239" s="28" t="str">
        <f>CONCATENATE(SUM($E$6:$E239)," / ",SUM($E$6:$E$370))</f>
        <v>1280 / 1280</v>
      </c>
      <c r="I239" s="209">
        <f>SUM($E$6:$E239)/(1+B239-B$6)</f>
        <v>5.4700854700854702</v>
      </c>
      <c r="J239" s="24"/>
      <c r="K239" s="24"/>
      <c r="L239" s="24"/>
    </row>
    <row r="240" spans="2:12" ht="13" thickBot="1">
      <c r="B240" s="123">
        <f t="shared" si="11"/>
        <v>42239</v>
      </c>
      <c r="C240" s="124">
        <f t="shared" si="9"/>
        <v>35</v>
      </c>
      <c r="D240" s="124">
        <f t="shared" si="10"/>
        <v>8</v>
      </c>
      <c r="E240" s="28">
        <v>0</v>
      </c>
      <c r="F240" s="28" t="str">
        <f>CONCATENATE(SUMIF($C$6:$C240,C240,$E$6:$E$370)," / ",SUMIF($C$6:$C$370,C240,$E$6:$E$370))</f>
        <v>0 / 0</v>
      </c>
      <c r="G240" s="28" t="str">
        <f>CONCATENATE(SUMIF($D$6:$D240,D240,$E$6:$E$370)," / ",SUMIF($D$6:$D$370,D240,$E$6:$E$370))</f>
        <v>0 / 0</v>
      </c>
      <c r="H240" s="28" t="str">
        <f>CONCATENATE(SUM($E$6:$E240)," / ",SUM($E$6:$E$370))</f>
        <v>1280 / 1280</v>
      </c>
      <c r="I240" s="209">
        <f>SUM($E$6:$E240)/(1+B240-B$6)</f>
        <v>5.4468085106382977</v>
      </c>
      <c r="J240" s="24"/>
      <c r="K240" s="24"/>
      <c r="L240" s="24"/>
    </row>
    <row r="241" spans="2:12" ht="13" thickBot="1">
      <c r="B241" s="123">
        <f t="shared" si="11"/>
        <v>42240</v>
      </c>
      <c r="C241" s="124">
        <f t="shared" si="9"/>
        <v>35</v>
      </c>
      <c r="D241" s="124">
        <f t="shared" si="10"/>
        <v>8</v>
      </c>
      <c r="E241" s="28">
        <v>0</v>
      </c>
      <c r="F241" s="28" t="str">
        <f>CONCATENATE(SUMIF($C$6:$C241,C241,$E$6:$E$370)," / ",SUMIF($C$6:$C$370,C241,$E$6:$E$370))</f>
        <v>0 / 0</v>
      </c>
      <c r="G241" s="28" t="str">
        <f>CONCATENATE(SUMIF($D$6:$D241,D241,$E$6:$E$370)," / ",SUMIF($D$6:$D$370,D241,$E$6:$E$370))</f>
        <v>0 / 0</v>
      </c>
      <c r="H241" s="28" t="str">
        <f>CONCATENATE(SUM($E$6:$E241)," / ",SUM($E$6:$E$370))</f>
        <v>1280 / 1280</v>
      </c>
      <c r="I241" s="209">
        <f>SUM($E$6:$E241)/(1+B241-B$6)</f>
        <v>5.4237288135593218</v>
      </c>
      <c r="J241" s="24"/>
      <c r="K241" s="24"/>
      <c r="L241" s="24"/>
    </row>
    <row r="242" spans="2:12" ht="13" thickBot="1">
      <c r="B242" s="123">
        <f t="shared" si="11"/>
        <v>42241</v>
      </c>
      <c r="C242" s="124">
        <f t="shared" si="9"/>
        <v>35</v>
      </c>
      <c r="D242" s="124">
        <f t="shared" si="10"/>
        <v>8</v>
      </c>
      <c r="E242" s="28">
        <v>0</v>
      </c>
      <c r="F242" s="28" t="str">
        <f>CONCATENATE(SUMIF($C$6:$C242,C242,$E$6:$E$370)," / ",SUMIF($C$6:$C$370,C242,$E$6:$E$370))</f>
        <v>0 / 0</v>
      </c>
      <c r="G242" s="28" t="str">
        <f>CONCATENATE(SUMIF($D$6:$D242,D242,$E$6:$E$370)," / ",SUMIF($D$6:$D$370,D242,$E$6:$E$370))</f>
        <v>0 / 0</v>
      </c>
      <c r="H242" s="28" t="str">
        <f>CONCATENATE(SUM($E$6:$E242)," / ",SUM($E$6:$E$370))</f>
        <v>1280 / 1280</v>
      </c>
      <c r="I242" s="209">
        <f>SUM($E$6:$E242)/(1+B242-B$6)</f>
        <v>5.4008438818565399</v>
      </c>
      <c r="J242" s="24"/>
      <c r="K242" s="24"/>
      <c r="L242" s="24"/>
    </row>
    <row r="243" spans="2:12" ht="13" thickBot="1">
      <c r="B243" s="123">
        <f t="shared" si="11"/>
        <v>42242</v>
      </c>
      <c r="C243" s="124">
        <f t="shared" si="9"/>
        <v>35</v>
      </c>
      <c r="D243" s="124">
        <f t="shared" si="10"/>
        <v>8</v>
      </c>
      <c r="E243" s="28">
        <v>0</v>
      </c>
      <c r="F243" s="28" t="str">
        <f>CONCATENATE(SUMIF($C$6:$C243,C243,$E$6:$E$370)," / ",SUMIF($C$6:$C$370,C243,$E$6:$E$370))</f>
        <v>0 / 0</v>
      </c>
      <c r="G243" s="28" t="str">
        <f>CONCATENATE(SUMIF($D$6:$D243,D243,$E$6:$E$370)," / ",SUMIF($D$6:$D$370,D243,$E$6:$E$370))</f>
        <v>0 / 0</v>
      </c>
      <c r="H243" s="28" t="str">
        <f>CONCATENATE(SUM($E$6:$E243)," / ",SUM($E$6:$E$370))</f>
        <v>1280 / 1280</v>
      </c>
      <c r="I243" s="209">
        <f>SUM($E$6:$E243)/(1+B243-B$6)</f>
        <v>5.3781512605042021</v>
      </c>
      <c r="J243" s="24"/>
      <c r="K243" s="24"/>
      <c r="L243" s="24"/>
    </row>
    <row r="244" spans="2:12" ht="13" thickBot="1">
      <c r="B244" s="123">
        <f t="shared" si="11"/>
        <v>42243</v>
      </c>
      <c r="C244" s="124">
        <f t="shared" si="9"/>
        <v>35</v>
      </c>
      <c r="D244" s="124">
        <f t="shared" si="10"/>
        <v>8</v>
      </c>
      <c r="E244" s="28">
        <v>0</v>
      </c>
      <c r="F244" s="28" t="str">
        <f>CONCATENATE(SUMIF($C$6:$C244,C244,$E$6:$E$370)," / ",SUMIF($C$6:$C$370,C244,$E$6:$E$370))</f>
        <v>0 / 0</v>
      </c>
      <c r="G244" s="28" t="str">
        <f>CONCATENATE(SUMIF($D$6:$D244,D244,$E$6:$E$370)," / ",SUMIF($D$6:$D$370,D244,$E$6:$E$370))</f>
        <v>0 / 0</v>
      </c>
      <c r="H244" s="28" t="str">
        <f>CONCATENATE(SUM($E$6:$E244)," / ",SUM($E$6:$E$370))</f>
        <v>1280 / 1280</v>
      </c>
      <c r="I244" s="209">
        <f>SUM($E$6:$E244)/(1+B244-B$6)</f>
        <v>5.3556485355648533</v>
      </c>
      <c r="J244" s="24"/>
      <c r="K244" s="24"/>
      <c r="L244" s="24"/>
    </row>
    <row r="245" spans="2:12" ht="13" thickBot="1">
      <c r="B245" s="123">
        <f t="shared" si="11"/>
        <v>42244</v>
      </c>
      <c r="C245" s="124">
        <f t="shared" si="9"/>
        <v>35</v>
      </c>
      <c r="D245" s="124">
        <f t="shared" si="10"/>
        <v>8</v>
      </c>
      <c r="E245" s="28">
        <v>0</v>
      </c>
      <c r="F245" s="28" t="str">
        <f>CONCATENATE(SUMIF($C$6:$C245,C245,$E$6:$E$370)," / ",SUMIF($C$6:$C$370,C245,$E$6:$E$370))</f>
        <v>0 / 0</v>
      </c>
      <c r="G245" s="28" t="str">
        <f>CONCATENATE(SUMIF($D$6:$D245,D245,$E$6:$E$370)," / ",SUMIF($D$6:$D$370,D245,$E$6:$E$370))</f>
        <v>0 / 0</v>
      </c>
      <c r="H245" s="28" t="str">
        <f>CONCATENATE(SUM($E$6:$E245)," / ",SUM($E$6:$E$370))</f>
        <v>1280 / 1280</v>
      </c>
      <c r="I245" s="209">
        <f>SUM($E$6:$E245)/(1+B245-B$6)</f>
        <v>5.333333333333333</v>
      </c>
      <c r="J245" s="24"/>
      <c r="K245" s="24"/>
      <c r="L245" s="24"/>
    </row>
    <row r="246" spans="2:12" ht="13" thickBot="1">
      <c r="B246" s="123">
        <f t="shared" si="11"/>
        <v>42245</v>
      </c>
      <c r="C246" s="124">
        <f t="shared" si="9"/>
        <v>35</v>
      </c>
      <c r="D246" s="124">
        <f t="shared" si="10"/>
        <v>8</v>
      </c>
      <c r="E246" s="28">
        <v>0</v>
      </c>
      <c r="F246" s="28" t="str">
        <f>CONCATENATE(SUMIF($C$6:$C246,C246,$E$6:$E$370)," / ",SUMIF($C$6:$C$370,C246,$E$6:$E$370))</f>
        <v>0 / 0</v>
      </c>
      <c r="G246" s="28" t="str">
        <f>CONCATENATE(SUMIF($D$6:$D246,D246,$E$6:$E$370)," / ",SUMIF($D$6:$D$370,D246,$E$6:$E$370))</f>
        <v>0 / 0</v>
      </c>
      <c r="H246" s="28" t="str">
        <f>CONCATENATE(SUM($E$6:$E246)," / ",SUM($E$6:$E$370))</f>
        <v>1280 / 1280</v>
      </c>
      <c r="I246" s="209">
        <f>SUM($E$6:$E246)/(1+B246-B$6)</f>
        <v>5.3112033195020745</v>
      </c>
      <c r="J246" s="24"/>
      <c r="K246" s="24"/>
      <c r="L246" s="24"/>
    </row>
    <row r="247" spans="2:12" ht="13" thickBot="1">
      <c r="B247" s="123">
        <f t="shared" si="11"/>
        <v>42246</v>
      </c>
      <c r="C247" s="124">
        <f t="shared" si="9"/>
        <v>36</v>
      </c>
      <c r="D247" s="124">
        <f t="shared" si="10"/>
        <v>8</v>
      </c>
      <c r="E247" s="28">
        <v>0</v>
      </c>
      <c r="F247" s="28" t="str">
        <f>CONCATENATE(SUMIF($C$6:$C247,C247,$E$6:$E$370)," / ",SUMIF($C$6:$C$370,C247,$E$6:$E$370))</f>
        <v>0 / 0</v>
      </c>
      <c r="G247" s="28" t="str">
        <f>CONCATENATE(SUMIF($D$6:$D247,D247,$E$6:$E$370)," / ",SUMIF($D$6:$D$370,D247,$E$6:$E$370))</f>
        <v>0 / 0</v>
      </c>
      <c r="H247" s="28" t="str">
        <f>CONCATENATE(SUM($E$6:$E247)," / ",SUM($E$6:$E$370))</f>
        <v>1280 / 1280</v>
      </c>
      <c r="I247" s="209">
        <f>SUM($E$6:$E247)/(1+B247-B$6)</f>
        <v>5.2892561983471076</v>
      </c>
      <c r="J247" s="24"/>
      <c r="K247" s="24"/>
      <c r="L247" s="24"/>
    </row>
    <row r="248" spans="2:12" ht="13" thickBot="1">
      <c r="B248" s="123">
        <f t="shared" si="11"/>
        <v>42247</v>
      </c>
      <c r="C248" s="124">
        <f t="shared" si="9"/>
        <v>36</v>
      </c>
      <c r="D248" s="124">
        <f t="shared" si="10"/>
        <v>8</v>
      </c>
      <c r="E248" s="28">
        <v>0</v>
      </c>
      <c r="F248" s="28" t="str">
        <f>CONCATENATE(SUMIF($C$6:$C248,C248,$E$6:$E$370)," / ",SUMIF($C$6:$C$370,C248,$E$6:$E$370))</f>
        <v>0 / 0</v>
      </c>
      <c r="G248" s="28" t="str">
        <f>CONCATENATE(SUMIF($D$6:$D248,D248,$E$6:$E$370)," / ",SUMIF($D$6:$D$370,D248,$E$6:$E$370))</f>
        <v>0 / 0</v>
      </c>
      <c r="H248" s="28" t="str">
        <f>CONCATENATE(SUM($E$6:$E248)," / ",SUM($E$6:$E$370))</f>
        <v>1280 / 1280</v>
      </c>
      <c r="I248" s="209">
        <f>SUM($E$6:$E248)/(1+B248-B$6)</f>
        <v>5.2674897119341564</v>
      </c>
      <c r="J248" s="24"/>
      <c r="K248" s="24"/>
      <c r="L248" s="24"/>
    </row>
    <row r="249" spans="2:12" ht="13" thickBot="1">
      <c r="B249" s="123">
        <f t="shared" si="11"/>
        <v>42248</v>
      </c>
      <c r="C249" s="124">
        <f t="shared" si="9"/>
        <v>36</v>
      </c>
      <c r="D249" s="124">
        <f t="shared" si="10"/>
        <v>9</v>
      </c>
      <c r="E249" s="28">
        <v>0</v>
      </c>
      <c r="F249" s="28" t="str">
        <f>CONCATENATE(SUMIF($C$6:$C249,C249,$E$6:$E$370)," / ",SUMIF($C$6:$C$370,C249,$E$6:$E$370))</f>
        <v>0 / 0</v>
      </c>
      <c r="G249" s="28" t="str">
        <f>CONCATENATE(SUMIF($D$6:$D249,D249,$E$6:$E$370)," / ",SUMIF($D$6:$D$370,D249,$E$6:$E$370))</f>
        <v>0 / 0</v>
      </c>
      <c r="H249" s="28" t="str">
        <f>CONCATENATE(SUM($E$6:$E249)," / ",SUM($E$6:$E$370))</f>
        <v>1280 / 1280</v>
      </c>
      <c r="I249" s="209">
        <f>SUM($E$6:$E249)/(1+B249-B$6)</f>
        <v>5.2459016393442619</v>
      </c>
      <c r="J249" s="24"/>
      <c r="K249" s="24"/>
      <c r="L249" s="24"/>
    </row>
    <row r="250" spans="2:12" ht="13" thickBot="1">
      <c r="B250" s="123">
        <f t="shared" si="11"/>
        <v>42249</v>
      </c>
      <c r="C250" s="124">
        <f t="shared" si="9"/>
        <v>36</v>
      </c>
      <c r="D250" s="124">
        <f t="shared" si="10"/>
        <v>9</v>
      </c>
      <c r="E250" s="28">
        <v>0</v>
      </c>
      <c r="F250" s="28" t="str">
        <f>CONCATENATE(SUMIF($C$6:$C250,C250,$E$6:$E$370)," / ",SUMIF($C$6:$C$370,C250,$E$6:$E$370))</f>
        <v>0 / 0</v>
      </c>
      <c r="G250" s="28" t="str">
        <f>CONCATENATE(SUMIF($D$6:$D250,D250,$E$6:$E$370)," / ",SUMIF($D$6:$D$370,D250,$E$6:$E$370))</f>
        <v>0 / 0</v>
      </c>
      <c r="H250" s="28" t="str">
        <f>CONCATENATE(SUM($E$6:$E250)," / ",SUM($E$6:$E$370))</f>
        <v>1280 / 1280</v>
      </c>
      <c r="I250" s="209">
        <f>SUM($E$6:$E250)/(1+B250-B$6)</f>
        <v>5.2244897959183669</v>
      </c>
      <c r="J250" s="24"/>
      <c r="K250" s="24"/>
      <c r="L250" s="24"/>
    </row>
    <row r="251" spans="2:12" ht="13" thickBot="1">
      <c r="B251" s="123">
        <f t="shared" si="11"/>
        <v>42250</v>
      </c>
      <c r="C251" s="124">
        <f t="shared" si="9"/>
        <v>36</v>
      </c>
      <c r="D251" s="124">
        <f t="shared" si="10"/>
        <v>9</v>
      </c>
      <c r="E251" s="28">
        <v>0</v>
      </c>
      <c r="F251" s="28" t="str">
        <f>CONCATENATE(SUMIF($C$6:$C251,C251,$E$6:$E$370)," / ",SUMIF($C$6:$C$370,C251,$E$6:$E$370))</f>
        <v>0 / 0</v>
      </c>
      <c r="G251" s="28" t="str">
        <f>CONCATENATE(SUMIF($D$6:$D251,D251,$E$6:$E$370)," / ",SUMIF($D$6:$D$370,D251,$E$6:$E$370))</f>
        <v>0 / 0</v>
      </c>
      <c r="H251" s="28" t="str">
        <f>CONCATENATE(SUM($E$6:$E251)," / ",SUM($E$6:$E$370))</f>
        <v>1280 / 1280</v>
      </c>
      <c r="I251" s="209">
        <f>SUM($E$6:$E251)/(1+B251-B$6)</f>
        <v>5.2032520325203251</v>
      </c>
      <c r="J251" s="24"/>
      <c r="K251" s="24"/>
      <c r="L251" s="24"/>
    </row>
    <row r="252" spans="2:12" ht="13" thickBot="1">
      <c r="B252" s="123">
        <f t="shared" si="11"/>
        <v>42251</v>
      </c>
      <c r="C252" s="124">
        <f t="shared" si="9"/>
        <v>36</v>
      </c>
      <c r="D252" s="124">
        <f t="shared" si="10"/>
        <v>9</v>
      </c>
      <c r="E252" s="28">
        <v>0</v>
      </c>
      <c r="F252" s="28" t="str">
        <f>CONCATENATE(SUMIF($C$6:$C252,C252,$E$6:$E$370)," / ",SUMIF($C$6:$C$370,C252,$E$6:$E$370))</f>
        <v>0 / 0</v>
      </c>
      <c r="G252" s="28" t="str">
        <f>CONCATENATE(SUMIF($D$6:$D252,D252,$E$6:$E$370)," / ",SUMIF($D$6:$D$370,D252,$E$6:$E$370))</f>
        <v>0 / 0</v>
      </c>
      <c r="H252" s="28" t="str">
        <f>CONCATENATE(SUM($E$6:$E252)," / ",SUM($E$6:$E$370))</f>
        <v>1280 / 1280</v>
      </c>
      <c r="I252" s="209">
        <f>SUM($E$6:$E252)/(1+B252-B$6)</f>
        <v>5.1821862348178138</v>
      </c>
      <c r="J252" s="24"/>
      <c r="K252" s="24"/>
      <c r="L252" s="24"/>
    </row>
    <row r="253" spans="2:12" ht="13" thickBot="1">
      <c r="B253" s="123">
        <f t="shared" si="11"/>
        <v>42252</v>
      </c>
      <c r="C253" s="124">
        <f t="shared" si="9"/>
        <v>36</v>
      </c>
      <c r="D253" s="124">
        <f t="shared" si="10"/>
        <v>9</v>
      </c>
      <c r="E253" s="28">
        <v>0</v>
      </c>
      <c r="F253" s="28" t="str">
        <f>CONCATENATE(SUMIF($C$6:$C253,C253,$E$6:$E$370)," / ",SUMIF($C$6:$C$370,C253,$E$6:$E$370))</f>
        <v>0 / 0</v>
      </c>
      <c r="G253" s="28" t="str">
        <f>CONCATENATE(SUMIF($D$6:$D253,D253,$E$6:$E$370)," / ",SUMIF($D$6:$D$370,D253,$E$6:$E$370))</f>
        <v>0 / 0</v>
      </c>
      <c r="H253" s="28" t="str">
        <f>CONCATENATE(SUM($E$6:$E253)," / ",SUM($E$6:$E$370))</f>
        <v>1280 / 1280</v>
      </c>
      <c r="I253" s="209">
        <f>SUM($E$6:$E253)/(1+B253-B$6)</f>
        <v>5.161290322580645</v>
      </c>
      <c r="J253" s="24"/>
      <c r="K253" s="24"/>
      <c r="L253" s="24"/>
    </row>
    <row r="254" spans="2:12" ht="13" thickBot="1">
      <c r="B254" s="123">
        <f t="shared" si="11"/>
        <v>42253</v>
      </c>
      <c r="C254" s="124">
        <f t="shared" si="9"/>
        <v>37</v>
      </c>
      <c r="D254" s="124">
        <f t="shared" si="10"/>
        <v>9</v>
      </c>
      <c r="E254" s="28">
        <v>0</v>
      </c>
      <c r="F254" s="28" t="str">
        <f>CONCATENATE(SUMIF($C$6:$C254,C254,$E$6:$E$370)," / ",SUMIF($C$6:$C$370,C254,$E$6:$E$370))</f>
        <v>0 / 0</v>
      </c>
      <c r="G254" s="28" t="str">
        <f>CONCATENATE(SUMIF($D$6:$D254,D254,$E$6:$E$370)," / ",SUMIF($D$6:$D$370,D254,$E$6:$E$370))</f>
        <v>0 / 0</v>
      </c>
      <c r="H254" s="28" t="str">
        <f>CONCATENATE(SUM($E$6:$E254)," / ",SUM($E$6:$E$370))</f>
        <v>1280 / 1280</v>
      </c>
      <c r="I254" s="209">
        <f>SUM($E$6:$E254)/(1+B254-B$6)</f>
        <v>5.1405622489959839</v>
      </c>
      <c r="J254" s="24"/>
      <c r="K254" s="24"/>
      <c r="L254" s="24"/>
    </row>
    <row r="255" spans="2:12" ht="13" thickBot="1">
      <c r="B255" s="123">
        <f t="shared" si="11"/>
        <v>42254</v>
      </c>
      <c r="C255" s="124">
        <f t="shared" si="9"/>
        <v>37</v>
      </c>
      <c r="D255" s="124">
        <f t="shared" si="10"/>
        <v>9</v>
      </c>
      <c r="E255" s="28">
        <v>0</v>
      </c>
      <c r="F255" s="28" t="str">
        <f>CONCATENATE(SUMIF($C$6:$C255,C255,$E$6:$E$370)," / ",SUMIF($C$6:$C$370,C255,$E$6:$E$370))</f>
        <v>0 / 0</v>
      </c>
      <c r="G255" s="28" t="str">
        <f>CONCATENATE(SUMIF($D$6:$D255,D255,$E$6:$E$370)," / ",SUMIF($D$6:$D$370,D255,$E$6:$E$370))</f>
        <v>0 / 0</v>
      </c>
      <c r="H255" s="28" t="str">
        <f>CONCATENATE(SUM($E$6:$E255)," / ",SUM($E$6:$E$370))</f>
        <v>1280 / 1280</v>
      </c>
      <c r="I255" s="209">
        <f>SUM($E$6:$E255)/(1+B255-B$6)</f>
        <v>5.12</v>
      </c>
      <c r="J255" s="24"/>
      <c r="K255" s="24"/>
      <c r="L255" s="24"/>
    </row>
    <row r="256" spans="2:12" ht="13" thickBot="1">
      <c r="B256" s="123">
        <f t="shared" si="11"/>
        <v>42255</v>
      </c>
      <c r="C256" s="124">
        <f t="shared" si="9"/>
        <v>37</v>
      </c>
      <c r="D256" s="124">
        <f t="shared" si="10"/>
        <v>9</v>
      </c>
      <c r="E256" s="28">
        <v>0</v>
      </c>
      <c r="F256" s="28" t="str">
        <f>CONCATENATE(SUMIF($C$6:$C256,C256,$E$6:$E$370)," / ",SUMIF($C$6:$C$370,C256,$E$6:$E$370))</f>
        <v>0 / 0</v>
      </c>
      <c r="G256" s="28" t="str">
        <f>CONCATENATE(SUMIF($D$6:$D256,D256,$E$6:$E$370)," / ",SUMIF($D$6:$D$370,D256,$E$6:$E$370))</f>
        <v>0 / 0</v>
      </c>
      <c r="H256" s="28" t="str">
        <f>CONCATENATE(SUM($E$6:$E256)," / ",SUM($E$6:$E$370))</f>
        <v>1280 / 1280</v>
      </c>
      <c r="I256" s="209">
        <f>SUM($E$6:$E256)/(1+B256-B$6)</f>
        <v>5.0996015936254979</v>
      </c>
      <c r="J256" s="24"/>
      <c r="K256" s="24"/>
      <c r="L256" s="24"/>
    </row>
    <row r="257" spans="2:12" ht="13" thickBot="1">
      <c r="B257" s="123">
        <f t="shared" si="11"/>
        <v>42256</v>
      </c>
      <c r="C257" s="124">
        <f t="shared" si="9"/>
        <v>37</v>
      </c>
      <c r="D257" s="124">
        <f t="shared" si="10"/>
        <v>9</v>
      </c>
      <c r="E257" s="28">
        <v>0</v>
      </c>
      <c r="F257" s="28" t="str">
        <f>CONCATENATE(SUMIF($C$6:$C257,C257,$E$6:$E$370)," / ",SUMIF($C$6:$C$370,C257,$E$6:$E$370))</f>
        <v>0 / 0</v>
      </c>
      <c r="G257" s="28" t="str">
        <f>CONCATENATE(SUMIF($D$6:$D257,D257,$E$6:$E$370)," / ",SUMIF($D$6:$D$370,D257,$E$6:$E$370))</f>
        <v>0 / 0</v>
      </c>
      <c r="H257" s="28" t="str">
        <f>CONCATENATE(SUM($E$6:$E257)," / ",SUM($E$6:$E$370))</f>
        <v>1280 / 1280</v>
      </c>
      <c r="I257" s="209">
        <f>SUM($E$6:$E257)/(1+B257-B$6)</f>
        <v>5.0793650793650791</v>
      </c>
      <c r="J257" s="24"/>
      <c r="K257" s="24"/>
      <c r="L257" s="24"/>
    </row>
    <row r="258" spans="2:12" ht="13" thickBot="1">
      <c r="B258" s="123">
        <f t="shared" si="11"/>
        <v>42257</v>
      </c>
      <c r="C258" s="124">
        <f t="shared" si="9"/>
        <v>37</v>
      </c>
      <c r="D258" s="124">
        <f t="shared" si="10"/>
        <v>9</v>
      </c>
      <c r="E258" s="28">
        <v>0</v>
      </c>
      <c r="F258" s="28" t="str">
        <f>CONCATENATE(SUMIF($C$6:$C258,C258,$E$6:$E$370)," / ",SUMIF($C$6:$C$370,C258,$E$6:$E$370))</f>
        <v>0 / 0</v>
      </c>
      <c r="G258" s="28" t="str">
        <f>CONCATENATE(SUMIF($D$6:$D258,D258,$E$6:$E$370)," / ",SUMIF($D$6:$D$370,D258,$E$6:$E$370))</f>
        <v>0 / 0</v>
      </c>
      <c r="H258" s="28" t="str">
        <f>CONCATENATE(SUM($E$6:$E258)," / ",SUM($E$6:$E$370))</f>
        <v>1280 / 1280</v>
      </c>
      <c r="I258" s="209">
        <f>SUM($E$6:$E258)/(1+B258-B$6)</f>
        <v>5.0592885375494072</v>
      </c>
      <c r="J258" s="24"/>
      <c r="K258" s="24"/>
      <c r="L258" s="24"/>
    </row>
    <row r="259" spans="2:12" ht="13" thickBot="1">
      <c r="B259" s="123">
        <f t="shared" si="11"/>
        <v>42258</v>
      </c>
      <c r="C259" s="124">
        <f t="shared" si="9"/>
        <v>37</v>
      </c>
      <c r="D259" s="124">
        <f t="shared" si="10"/>
        <v>9</v>
      </c>
      <c r="E259" s="28">
        <v>0</v>
      </c>
      <c r="F259" s="28" t="str">
        <f>CONCATENATE(SUMIF($C$6:$C259,C259,$E$6:$E$370)," / ",SUMIF($C$6:$C$370,C259,$E$6:$E$370))</f>
        <v>0 / 0</v>
      </c>
      <c r="G259" s="28" t="str">
        <f>CONCATENATE(SUMIF($D$6:$D259,D259,$E$6:$E$370)," / ",SUMIF($D$6:$D$370,D259,$E$6:$E$370))</f>
        <v>0 / 0</v>
      </c>
      <c r="H259" s="28" t="str">
        <f>CONCATENATE(SUM($E$6:$E259)," / ",SUM($E$6:$E$370))</f>
        <v>1280 / 1280</v>
      </c>
      <c r="I259" s="209">
        <f>SUM($E$6:$E259)/(1+B259-B$6)</f>
        <v>5.0393700787401574</v>
      </c>
      <c r="J259" s="24"/>
      <c r="K259" s="24"/>
      <c r="L259" s="24"/>
    </row>
    <row r="260" spans="2:12" ht="13" thickBot="1">
      <c r="B260" s="123">
        <f t="shared" si="11"/>
        <v>42259</v>
      </c>
      <c r="C260" s="124">
        <f t="shared" si="9"/>
        <v>37</v>
      </c>
      <c r="D260" s="124">
        <f t="shared" si="10"/>
        <v>9</v>
      </c>
      <c r="E260" s="28">
        <v>0</v>
      </c>
      <c r="F260" s="28" t="str">
        <f>CONCATENATE(SUMIF($C$6:$C260,C260,$E$6:$E$370)," / ",SUMIF($C$6:$C$370,C260,$E$6:$E$370))</f>
        <v>0 / 0</v>
      </c>
      <c r="G260" s="28" t="str">
        <f>CONCATENATE(SUMIF($D$6:$D260,D260,$E$6:$E$370)," / ",SUMIF($D$6:$D$370,D260,$E$6:$E$370))</f>
        <v>0 / 0</v>
      </c>
      <c r="H260" s="28" t="str">
        <f>CONCATENATE(SUM($E$6:$E260)," / ",SUM($E$6:$E$370))</f>
        <v>1280 / 1280</v>
      </c>
      <c r="I260" s="209">
        <f>SUM($E$6:$E260)/(1+B260-B$6)</f>
        <v>5.0196078431372548</v>
      </c>
      <c r="J260" s="24"/>
      <c r="K260" s="24"/>
      <c r="L260" s="24"/>
    </row>
    <row r="261" spans="2:12" ht="13" thickBot="1">
      <c r="B261" s="123">
        <f t="shared" si="11"/>
        <v>42260</v>
      </c>
      <c r="C261" s="124">
        <f t="shared" si="9"/>
        <v>38</v>
      </c>
      <c r="D261" s="124">
        <f t="shared" si="10"/>
        <v>9</v>
      </c>
      <c r="E261" s="28">
        <v>0</v>
      </c>
      <c r="F261" s="28" t="str">
        <f>CONCATENATE(SUMIF($C$6:$C261,C261,$E$6:$E$370)," / ",SUMIF($C$6:$C$370,C261,$E$6:$E$370))</f>
        <v>0 / 0</v>
      </c>
      <c r="G261" s="28" t="str">
        <f>CONCATENATE(SUMIF($D$6:$D261,D261,$E$6:$E$370)," / ",SUMIF($D$6:$D$370,D261,$E$6:$E$370))</f>
        <v>0 / 0</v>
      </c>
      <c r="H261" s="28" t="str">
        <f>CONCATENATE(SUM($E$6:$E261)," / ",SUM($E$6:$E$370))</f>
        <v>1280 / 1280</v>
      </c>
      <c r="I261" s="209">
        <f>SUM($E$6:$E261)/(1+B261-B$6)</f>
        <v>5</v>
      </c>
      <c r="J261" s="24"/>
      <c r="K261" s="24"/>
      <c r="L261" s="24"/>
    </row>
    <row r="262" spans="2:12" ht="13" thickBot="1">
      <c r="B262" s="123">
        <f t="shared" si="11"/>
        <v>42261</v>
      </c>
      <c r="C262" s="124">
        <f t="shared" si="9"/>
        <v>38</v>
      </c>
      <c r="D262" s="124">
        <f t="shared" si="10"/>
        <v>9</v>
      </c>
      <c r="E262" s="28">
        <v>0</v>
      </c>
      <c r="F262" s="28" t="str">
        <f>CONCATENATE(SUMIF($C$6:$C262,C262,$E$6:$E$370)," / ",SUMIF($C$6:$C$370,C262,$E$6:$E$370))</f>
        <v>0 / 0</v>
      </c>
      <c r="G262" s="28" t="str">
        <f>CONCATENATE(SUMIF($D$6:$D262,D262,$E$6:$E$370)," / ",SUMIF($D$6:$D$370,D262,$E$6:$E$370))</f>
        <v>0 / 0</v>
      </c>
      <c r="H262" s="28" t="str">
        <f>CONCATENATE(SUM($E$6:$E262)," / ",SUM($E$6:$E$370))</f>
        <v>1280 / 1280</v>
      </c>
      <c r="I262" s="209">
        <f>SUM($E$6:$E262)/(1+B262-B$6)</f>
        <v>4.9805447470817121</v>
      </c>
      <c r="J262" s="24"/>
      <c r="K262" s="24"/>
      <c r="L262" s="24"/>
    </row>
    <row r="263" spans="2:12" ht="13" thickBot="1">
      <c r="B263" s="123">
        <f t="shared" si="11"/>
        <v>42262</v>
      </c>
      <c r="C263" s="124">
        <f t="shared" ref="C263:C326" si="12">WEEKNUM($B263)</f>
        <v>38</v>
      </c>
      <c r="D263" s="124">
        <f t="shared" ref="D263:D326" si="13">MONTH(B263)</f>
        <v>9</v>
      </c>
      <c r="E263" s="28">
        <v>0</v>
      </c>
      <c r="F263" s="28" t="str">
        <f>CONCATENATE(SUMIF($C$6:$C263,C263,$E$6:$E$370)," / ",SUMIF($C$6:$C$370,C263,$E$6:$E$370))</f>
        <v>0 / 0</v>
      </c>
      <c r="G263" s="28" t="str">
        <f>CONCATENATE(SUMIF($D$6:$D263,D263,$E$6:$E$370)," / ",SUMIF($D$6:$D$370,D263,$E$6:$E$370))</f>
        <v>0 / 0</v>
      </c>
      <c r="H263" s="28" t="str">
        <f>CONCATENATE(SUM($E$6:$E263)," / ",SUM($E$6:$E$370))</f>
        <v>1280 / 1280</v>
      </c>
      <c r="I263" s="209">
        <f>SUM($E$6:$E263)/(1+B263-B$6)</f>
        <v>4.9612403100775193</v>
      </c>
      <c r="J263" s="24"/>
      <c r="K263" s="24"/>
      <c r="L263" s="24"/>
    </row>
    <row r="264" spans="2:12" ht="13" thickBot="1">
      <c r="B264" s="123">
        <f t="shared" ref="B264:B327" si="14">B263+1</f>
        <v>42263</v>
      </c>
      <c r="C264" s="124">
        <f t="shared" si="12"/>
        <v>38</v>
      </c>
      <c r="D264" s="124">
        <f t="shared" si="13"/>
        <v>9</v>
      </c>
      <c r="E264" s="28">
        <v>0</v>
      </c>
      <c r="F264" s="28" t="str">
        <f>CONCATENATE(SUMIF($C$6:$C264,C264,$E$6:$E$370)," / ",SUMIF($C$6:$C$370,C264,$E$6:$E$370))</f>
        <v>0 / 0</v>
      </c>
      <c r="G264" s="28" t="str">
        <f>CONCATENATE(SUMIF($D$6:$D264,D264,$E$6:$E$370)," / ",SUMIF($D$6:$D$370,D264,$E$6:$E$370))</f>
        <v>0 / 0</v>
      </c>
      <c r="H264" s="28" t="str">
        <f>CONCATENATE(SUM($E$6:$E264)," / ",SUM($E$6:$E$370))</f>
        <v>1280 / 1280</v>
      </c>
      <c r="I264" s="209">
        <f>SUM($E$6:$E264)/(1+B264-B$6)</f>
        <v>4.942084942084942</v>
      </c>
      <c r="J264" s="24"/>
      <c r="K264" s="24"/>
      <c r="L264" s="24"/>
    </row>
    <row r="265" spans="2:12" ht="13" thickBot="1">
      <c r="B265" s="123">
        <f t="shared" si="14"/>
        <v>42264</v>
      </c>
      <c r="C265" s="124">
        <f t="shared" si="12"/>
        <v>38</v>
      </c>
      <c r="D265" s="124">
        <f t="shared" si="13"/>
        <v>9</v>
      </c>
      <c r="E265" s="28">
        <v>0</v>
      </c>
      <c r="F265" s="28" t="str">
        <f>CONCATENATE(SUMIF($C$6:$C265,C265,$E$6:$E$370)," / ",SUMIF($C$6:$C$370,C265,$E$6:$E$370))</f>
        <v>0 / 0</v>
      </c>
      <c r="G265" s="28" t="str">
        <f>CONCATENATE(SUMIF($D$6:$D265,D265,$E$6:$E$370)," / ",SUMIF($D$6:$D$370,D265,$E$6:$E$370))</f>
        <v>0 / 0</v>
      </c>
      <c r="H265" s="28" t="str">
        <f>CONCATENATE(SUM($E$6:$E265)," / ",SUM($E$6:$E$370))</f>
        <v>1280 / 1280</v>
      </c>
      <c r="I265" s="209">
        <f>SUM($E$6:$E265)/(1+B265-B$6)</f>
        <v>4.9230769230769234</v>
      </c>
      <c r="J265" s="24"/>
      <c r="K265" s="24"/>
      <c r="L265" s="24"/>
    </row>
    <row r="266" spans="2:12" ht="13" thickBot="1">
      <c r="B266" s="123">
        <f t="shared" si="14"/>
        <v>42265</v>
      </c>
      <c r="C266" s="124">
        <f t="shared" si="12"/>
        <v>38</v>
      </c>
      <c r="D266" s="124">
        <f t="shared" si="13"/>
        <v>9</v>
      </c>
      <c r="E266" s="28">
        <v>0</v>
      </c>
      <c r="F266" s="28" t="str">
        <f>CONCATENATE(SUMIF($C$6:$C266,C266,$E$6:$E$370)," / ",SUMIF($C$6:$C$370,C266,$E$6:$E$370))</f>
        <v>0 / 0</v>
      </c>
      <c r="G266" s="28" t="str">
        <f>CONCATENATE(SUMIF($D$6:$D266,D266,$E$6:$E$370)," / ",SUMIF($D$6:$D$370,D266,$E$6:$E$370))</f>
        <v>0 / 0</v>
      </c>
      <c r="H266" s="28" t="str">
        <f>CONCATENATE(SUM($E$6:$E266)," / ",SUM($E$6:$E$370))</f>
        <v>1280 / 1280</v>
      </c>
      <c r="I266" s="209">
        <f>SUM($E$6:$E266)/(1+B266-B$6)</f>
        <v>4.9042145593869728</v>
      </c>
      <c r="J266" s="24"/>
      <c r="K266" s="24"/>
      <c r="L266" s="24"/>
    </row>
    <row r="267" spans="2:12" ht="13" thickBot="1">
      <c r="B267" s="123">
        <f t="shared" si="14"/>
        <v>42266</v>
      </c>
      <c r="C267" s="124">
        <f t="shared" si="12"/>
        <v>38</v>
      </c>
      <c r="D267" s="124">
        <f t="shared" si="13"/>
        <v>9</v>
      </c>
      <c r="E267" s="28">
        <v>0</v>
      </c>
      <c r="F267" s="28" t="str">
        <f>CONCATENATE(SUMIF($C$6:$C267,C267,$E$6:$E$370)," / ",SUMIF($C$6:$C$370,C267,$E$6:$E$370))</f>
        <v>0 / 0</v>
      </c>
      <c r="G267" s="28" t="str">
        <f>CONCATENATE(SUMIF($D$6:$D267,D267,$E$6:$E$370)," / ",SUMIF($D$6:$D$370,D267,$E$6:$E$370))</f>
        <v>0 / 0</v>
      </c>
      <c r="H267" s="28" t="str">
        <f>CONCATENATE(SUM($E$6:$E267)," / ",SUM($E$6:$E$370))</f>
        <v>1280 / 1280</v>
      </c>
      <c r="I267" s="209">
        <f>SUM($E$6:$E267)/(1+B267-B$6)</f>
        <v>4.885496183206107</v>
      </c>
      <c r="J267" s="24"/>
      <c r="K267" s="24"/>
      <c r="L267" s="24"/>
    </row>
    <row r="268" spans="2:12" ht="13" thickBot="1">
      <c r="B268" s="123">
        <f t="shared" si="14"/>
        <v>42267</v>
      </c>
      <c r="C268" s="124">
        <f t="shared" si="12"/>
        <v>39</v>
      </c>
      <c r="D268" s="124">
        <f t="shared" si="13"/>
        <v>9</v>
      </c>
      <c r="E268" s="28">
        <v>0</v>
      </c>
      <c r="F268" s="28" t="str">
        <f>CONCATENATE(SUMIF($C$6:$C268,C268,$E$6:$E$370)," / ",SUMIF($C$6:$C$370,C268,$E$6:$E$370))</f>
        <v>0 / 0</v>
      </c>
      <c r="G268" s="28" t="str">
        <f>CONCATENATE(SUMIF($D$6:$D268,D268,$E$6:$E$370)," / ",SUMIF($D$6:$D$370,D268,$E$6:$E$370))</f>
        <v>0 / 0</v>
      </c>
      <c r="H268" s="28" t="str">
        <f>CONCATENATE(SUM($E$6:$E268)," / ",SUM($E$6:$E$370))</f>
        <v>1280 / 1280</v>
      </c>
      <c r="I268" s="209">
        <f>SUM($E$6:$E268)/(1+B268-B$6)</f>
        <v>4.8669201520912546</v>
      </c>
      <c r="J268" s="24"/>
      <c r="K268" s="24"/>
      <c r="L268" s="24"/>
    </row>
    <row r="269" spans="2:12" ht="13" thickBot="1">
      <c r="B269" s="123">
        <f t="shared" si="14"/>
        <v>42268</v>
      </c>
      <c r="C269" s="124">
        <f t="shared" si="12"/>
        <v>39</v>
      </c>
      <c r="D269" s="124">
        <f t="shared" si="13"/>
        <v>9</v>
      </c>
      <c r="E269" s="28">
        <v>0</v>
      </c>
      <c r="F269" s="28" t="str">
        <f>CONCATENATE(SUMIF($C$6:$C269,C269,$E$6:$E$370)," / ",SUMIF($C$6:$C$370,C269,$E$6:$E$370))</f>
        <v>0 / 0</v>
      </c>
      <c r="G269" s="28" t="str">
        <f>CONCATENATE(SUMIF($D$6:$D269,D269,$E$6:$E$370)," / ",SUMIF($D$6:$D$370,D269,$E$6:$E$370))</f>
        <v>0 / 0</v>
      </c>
      <c r="H269" s="28" t="str">
        <f>CONCATENATE(SUM($E$6:$E269)," / ",SUM($E$6:$E$370))</f>
        <v>1280 / 1280</v>
      </c>
      <c r="I269" s="209">
        <f>SUM($E$6:$E269)/(1+B269-B$6)</f>
        <v>4.8484848484848486</v>
      </c>
      <c r="J269" s="24"/>
      <c r="K269" s="24"/>
      <c r="L269" s="24"/>
    </row>
    <row r="270" spans="2:12" ht="13" thickBot="1">
      <c r="B270" s="123">
        <f t="shared" si="14"/>
        <v>42269</v>
      </c>
      <c r="C270" s="124">
        <f t="shared" si="12"/>
        <v>39</v>
      </c>
      <c r="D270" s="124">
        <f t="shared" si="13"/>
        <v>9</v>
      </c>
      <c r="E270" s="28">
        <v>0</v>
      </c>
      <c r="F270" s="28" t="str">
        <f>CONCATENATE(SUMIF($C$6:$C270,C270,$E$6:$E$370)," / ",SUMIF($C$6:$C$370,C270,$E$6:$E$370))</f>
        <v>0 / 0</v>
      </c>
      <c r="G270" s="28" t="str">
        <f>CONCATENATE(SUMIF($D$6:$D270,D270,$E$6:$E$370)," / ",SUMIF($D$6:$D$370,D270,$E$6:$E$370))</f>
        <v>0 / 0</v>
      </c>
      <c r="H270" s="28" t="str">
        <f>CONCATENATE(SUM($E$6:$E270)," / ",SUM($E$6:$E$370))</f>
        <v>1280 / 1280</v>
      </c>
      <c r="I270" s="209">
        <f>SUM($E$6:$E270)/(1+B270-B$6)</f>
        <v>4.8301886792452828</v>
      </c>
      <c r="J270" s="24"/>
      <c r="K270" s="24"/>
      <c r="L270" s="24"/>
    </row>
    <row r="271" spans="2:12" ht="13" thickBot="1">
      <c r="B271" s="123">
        <f t="shared" si="14"/>
        <v>42270</v>
      </c>
      <c r="C271" s="124">
        <f t="shared" si="12"/>
        <v>39</v>
      </c>
      <c r="D271" s="124">
        <f t="shared" si="13"/>
        <v>9</v>
      </c>
      <c r="E271" s="28">
        <v>0</v>
      </c>
      <c r="F271" s="28" t="str">
        <f>CONCATENATE(SUMIF($C$6:$C271,C271,$E$6:$E$370)," / ",SUMIF($C$6:$C$370,C271,$E$6:$E$370))</f>
        <v>0 / 0</v>
      </c>
      <c r="G271" s="28" t="str">
        <f>CONCATENATE(SUMIF($D$6:$D271,D271,$E$6:$E$370)," / ",SUMIF($D$6:$D$370,D271,$E$6:$E$370))</f>
        <v>0 / 0</v>
      </c>
      <c r="H271" s="28" t="str">
        <f>CONCATENATE(SUM($E$6:$E271)," / ",SUM($E$6:$E$370))</f>
        <v>1280 / 1280</v>
      </c>
      <c r="I271" s="209">
        <f>SUM($E$6:$E271)/(1+B271-B$6)</f>
        <v>4.8120300751879697</v>
      </c>
      <c r="J271" s="24"/>
      <c r="K271" s="24"/>
      <c r="L271" s="24"/>
    </row>
    <row r="272" spans="2:12" ht="13" thickBot="1">
      <c r="B272" s="123">
        <f t="shared" si="14"/>
        <v>42271</v>
      </c>
      <c r="C272" s="124">
        <f t="shared" si="12"/>
        <v>39</v>
      </c>
      <c r="D272" s="124">
        <f t="shared" si="13"/>
        <v>9</v>
      </c>
      <c r="E272" s="28">
        <v>0</v>
      </c>
      <c r="F272" s="28" t="str">
        <f>CONCATENATE(SUMIF($C$6:$C272,C272,$E$6:$E$370)," / ",SUMIF($C$6:$C$370,C272,$E$6:$E$370))</f>
        <v>0 / 0</v>
      </c>
      <c r="G272" s="28" t="str">
        <f>CONCATENATE(SUMIF($D$6:$D272,D272,$E$6:$E$370)," / ",SUMIF($D$6:$D$370,D272,$E$6:$E$370))</f>
        <v>0 / 0</v>
      </c>
      <c r="H272" s="28" t="str">
        <f>CONCATENATE(SUM($E$6:$E272)," / ",SUM($E$6:$E$370))</f>
        <v>1280 / 1280</v>
      </c>
      <c r="I272" s="209">
        <f>SUM($E$6:$E272)/(1+B272-B$6)</f>
        <v>4.7940074906367043</v>
      </c>
      <c r="J272" s="24"/>
      <c r="K272" s="24"/>
      <c r="L272" s="24"/>
    </row>
    <row r="273" spans="2:12" ht="13" thickBot="1">
      <c r="B273" s="123">
        <f t="shared" si="14"/>
        <v>42272</v>
      </c>
      <c r="C273" s="124">
        <f t="shared" si="12"/>
        <v>39</v>
      </c>
      <c r="D273" s="124">
        <f t="shared" si="13"/>
        <v>9</v>
      </c>
      <c r="E273" s="28">
        <v>0</v>
      </c>
      <c r="F273" s="28" t="str">
        <f>CONCATENATE(SUMIF($C$6:$C273,C273,$E$6:$E$370)," / ",SUMIF($C$6:$C$370,C273,$E$6:$E$370))</f>
        <v>0 / 0</v>
      </c>
      <c r="G273" s="28" t="str">
        <f>CONCATENATE(SUMIF($D$6:$D273,D273,$E$6:$E$370)," / ",SUMIF($D$6:$D$370,D273,$E$6:$E$370))</f>
        <v>0 / 0</v>
      </c>
      <c r="H273" s="28" t="str">
        <f>CONCATENATE(SUM($E$6:$E273)," / ",SUM($E$6:$E$370))</f>
        <v>1280 / 1280</v>
      </c>
      <c r="I273" s="209">
        <f>SUM($E$6:$E273)/(1+B273-B$6)</f>
        <v>4.7761194029850742</v>
      </c>
      <c r="J273" s="24"/>
      <c r="K273" s="24"/>
      <c r="L273" s="24"/>
    </row>
    <row r="274" spans="2:12" ht="13" thickBot="1">
      <c r="B274" s="123">
        <f t="shared" si="14"/>
        <v>42273</v>
      </c>
      <c r="C274" s="124">
        <f t="shared" si="12"/>
        <v>39</v>
      </c>
      <c r="D274" s="124">
        <f t="shared" si="13"/>
        <v>9</v>
      </c>
      <c r="E274" s="28">
        <v>0</v>
      </c>
      <c r="F274" s="28" t="str">
        <f>CONCATENATE(SUMIF($C$6:$C274,C274,$E$6:$E$370)," / ",SUMIF($C$6:$C$370,C274,$E$6:$E$370))</f>
        <v>0 / 0</v>
      </c>
      <c r="G274" s="28" t="str">
        <f>CONCATENATE(SUMIF($D$6:$D274,D274,$E$6:$E$370)," / ",SUMIF($D$6:$D$370,D274,$E$6:$E$370))</f>
        <v>0 / 0</v>
      </c>
      <c r="H274" s="28" t="str">
        <f>CONCATENATE(SUM($E$6:$E274)," / ",SUM($E$6:$E$370))</f>
        <v>1280 / 1280</v>
      </c>
      <c r="I274" s="209">
        <f>SUM($E$6:$E274)/(1+B274-B$6)</f>
        <v>4.7583643122676582</v>
      </c>
      <c r="J274" s="24"/>
      <c r="K274" s="24"/>
      <c r="L274" s="24"/>
    </row>
    <row r="275" spans="2:12" ht="13" thickBot="1">
      <c r="B275" s="123">
        <f t="shared" si="14"/>
        <v>42274</v>
      </c>
      <c r="C275" s="124">
        <f t="shared" si="12"/>
        <v>40</v>
      </c>
      <c r="D275" s="124">
        <f t="shared" si="13"/>
        <v>9</v>
      </c>
      <c r="E275" s="28">
        <v>0</v>
      </c>
      <c r="F275" s="28" t="str">
        <f>CONCATENATE(SUMIF($C$6:$C275,C275,$E$6:$E$370)," / ",SUMIF($C$6:$C$370,C275,$E$6:$E$370))</f>
        <v>0 / 0</v>
      </c>
      <c r="G275" s="28" t="str">
        <f>CONCATENATE(SUMIF($D$6:$D275,D275,$E$6:$E$370)," / ",SUMIF($D$6:$D$370,D275,$E$6:$E$370))</f>
        <v>0 / 0</v>
      </c>
      <c r="H275" s="28" t="str">
        <f>CONCATENATE(SUM($E$6:$E275)," / ",SUM($E$6:$E$370))</f>
        <v>1280 / 1280</v>
      </c>
      <c r="I275" s="209">
        <f>SUM($E$6:$E275)/(1+B275-B$6)</f>
        <v>4.7407407407407405</v>
      </c>
      <c r="J275" s="24"/>
      <c r="K275" s="24"/>
      <c r="L275" s="24"/>
    </row>
    <row r="276" spans="2:12" ht="13" thickBot="1">
      <c r="B276" s="123">
        <f t="shared" si="14"/>
        <v>42275</v>
      </c>
      <c r="C276" s="124">
        <f t="shared" si="12"/>
        <v>40</v>
      </c>
      <c r="D276" s="124">
        <f t="shared" si="13"/>
        <v>9</v>
      </c>
      <c r="E276" s="28">
        <v>0</v>
      </c>
      <c r="F276" s="28" t="str">
        <f>CONCATENATE(SUMIF($C$6:$C276,C276,$E$6:$E$370)," / ",SUMIF($C$6:$C$370,C276,$E$6:$E$370))</f>
        <v>0 / 0</v>
      </c>
      <c r="G276" s="28" t="str">
        <f>CONCATENATE(SUMIF($D$6:$D276,D276,$E$6:$E$370)," / ",SUMIF($D$6:$D$370,D276,$E$6:$E$370))</f>
        <v>0 / 0</v>
      </c>
      <c r="H276" s="28" t="str">
        <f>CONCATENATE(SUM($E$6:$E276)," / ",SUM($E$6:$E$370))</f>
        <v>1280 / 1280</v>
      </c>
      <c r="I276" s="209">
        <f>SUM($E$6:$E276)/(1+B276-B$6)</f>
        <v>4.7232472324723247</v>
      </c>
      <c r="J276" s="24"/>
      <c r="K276" s="24"/>
      <c r="L276" s="24"/>
    </row>
    <row r="277" spans="2:12" ht="13" thickBot="1">
      <c r="B277" s="123">
        <f t="shared" si="14"/>
        <v>42276</v>
      </c>
      <c r="C277" s="124">
        <f t="shared" si="12"/>
        <v>40</v>
      </c>
      <c r="D277" s="124">
        <f t="shared" si="13"/>
        <v>9</v>
      </c>
      <c r="E277" s="28">
        <v>0</v>
      </c>
      <c r="F277" s="28" t="str">
        <f>CONCATENATE(SUMIF($C$6:$C277,C277,$E$6:$E$370)," / ",SUMIF($C$6:$C$370,C277,$E$6:$E$370))</f>
        <v>0 / 0</v>
      </c>
      <c r="G277" s="28" t="str">
        <f>CONCATENATE(SUMIF($D$6:$D277,D277,$E$6:$E$370)," / ",SUMIF($D$6:$D$370,D277,$E$6:$E$370))</f>
        <v>0 / 0</v>
      </c>
      <c r="H277" s="28" t="str">
        <f>CONCATENATE(SUM($E$6:$E277)," / ",SUM($E$6:$E$370))</f>
        <v>1280 / 1280</v>
      </c>
      <c r="I277" s="209">
        <f>SUM($E$6:$E277)/(1+B277-B$6)</f>
        <v>4.7058823529411766</v>
      </c>
      <c r="J277" s="24"/>
      <c r="K277" s="24"/>
      <c r="L277" s="24"/>
    </row>
    <row r="278" spans="2:12" ht="13" thickBot="1">
      <c r="B278" s="123">
        <f t="shared" si="14"/>
        <v>42277</v>
      </c>
      <c r="C278" s="124">
        <f t="shared" si="12"/>
        <v>40</v>
      </c>
      <c r="D278" s="124">
        <f t="shared" si="13"/>
        <v>9</v>
      </c>
      <c r="E278" s="28">
        <v>0</v>
      </c>
      <c r="F278" s="28" t="str">
        <f>CONCATENATE(SUMIF($C$6:$C278,C278,$E$6:$E$370)," / ",SUMIF($C$6:$C$370,C278,$E$6:$E$370))</f>
        <v>0 / 0</v>
      </c>
      <c r="G278" s="28" t="str">
        <f>CONCATENATE(SUMIF($D$6:$D278,D278,$E$6:$E$370)," / ",SUMIF($D$6:$D$370,D278,$E$6:$E$370))</f>
        <v>0 / 0</v>
      </c>
      <c r="H278" s="28" t="str">
        <f>CONCATENATE(SUM($E$6:$E278)," / ",SUM($E$6:$E$370))</f>
        <v>1280 / 1280</v>
      </c>
      <c r="I278" s="209">
        <f>SUM($E$6:$E278)/(1+B278-B$6)</f>
        <v>4.6886446886446889</v>
      </c>
      <c r="J278" s="24"/>
      <c r="K278" s="24"/>
      <c r="L278" s="24"/>
    </row>
    <row r="279" spans="2:12" ht="13" thickBot="1">
      <c r="B279" s="123">
        <f t="shared" si="14"/>
        <v>42278</v>
      </c>
      <c r="C279" s="124">
        <f t="shared" si="12"/>
        <v>40</v>
      </c>
      <c r="D279" s="124">
        <f t="shared" si="13"/>
        <v>10</v>
      </c>
      <c r="E279" s="28">
        <v>0</v>
      </c>
      <c r="F279" s="28" t="str">
        <f>CONCATENATE(SUMIF($C$6:$C279,C279,$E$6:$E$370)," / ",SUMIF($C$6:$C$370,C279,$E$6:$E$370))</f>
        <v>0 / 0</v>
      </c>
      <c r="G279" s="28" t="str">
        <f>CONCATENATE(SUMIF($D$6:$D279,D279,$E$6:$E$370)," / ",SUMIF($D$6:$D$370,D279,$E$6:$E$370))</f>
        <v>0 / 0</v>
      </c>
      <c r="H279" s="28" t="str">
        <f>CONCATENATE(SUM($E$6:$E279)," / ",SUM($E$6:$E$370))</f>
        <v>1280 / 1280</v>
      </c>
      <c r="I279" s="209">
        <f>SUM($E$6:$E279)/(1+B279-B$6)</f>
        <v>4.6715328467153281</v>
      </c>
      <c r="J279" s="24"/>
      <c r="K279" s="24"/>
      <c r="L279" s="24"/>
    </row>
    <row r="280" spans="2:12" ht="13" thickBot="1">
      <c r="B280" s="123">
        <f t="shared" si="14"/>
        <v>42279</v>
      </c>
      <c r="C280" s="124">
        <f t="shared" si="12"/>
        <v>40</v>
      </c>
      <c r="D280" s="124">
        <f t="shared" si="13"/>
        <v>10</v>
      </c>
      <c r="E280" s="28">
        <v>0</v>
      </c>
      <c r="F280" s="28" t="str">
        <f>CONCATENATE(SUMIF($C$6:$C280,C280,$E$6:$E$370)," / ",SUMIF($C$6:$C$370,C280,$E$6:$E$370))</f>
        <v>0 / 0</v>
      </c>
      <c r="G280" s="28" t="str">
        <f>CONCATENATE(SUMIF($D$6:$D280,D280,$E$6:$E$370)," / ",SUMIF($D$6:$D$370,D280,$E$6:$E$370))</f>
        <v>0 / 0</v>
      </c>
      <c r="H280" s="28" t="str">
        <f>CONCATENATE(SUM($E$6:$E280)," / ",SUM($E$6:$E$370))</f>
        <v>1280 / 1280</v>
      </c>
      <c r="I280" s="209">
        <f>SUM($E$6:$E280)/(1+B280-B$6)</f>
        <v>4.6545454545454543</v>
      </c>
      <c r="J280" s="24"/>
      <c r="K280" s="24"/>
      <c r="L280" s="24"/>
    </row>
    <row r="281" spans="2:12" ht="13" thickBot="1">
      <c r="B281" s="123">
        <f t="shared" si="14"/>
        <v>42280</v>
      </c>
      <c r="C281" s="124">
        <f t="shared" si="12"/>
        <v>40</v>
      </c>
      <c r="D281" s="124">
        <f t="shared" si="13"/>
        <v>10</v>
      </c>
      <c r="E281" s="28">
        <v>0</v>
      </c>
      <c r="F281" s="28" t="str">
        <f>CONCATENATE(SUMIF($C$6:$C281,C281,$E$6:$E$370)," / ",SUMIF($C$6:$C$370,C281,$E$6:$E$370))</f>
        <v>0 / 0</v>
      </c>
      <c r="G281" s="28" t="str">
        <f>CONCATENATE(SUMIF($D$6:$D281,D281,$E$6:$E$370)," / ",SUMIF($D$6:$D$370,D281,$E$6:$E$370))</f>
        <v>0 / 0</v>
      </c>
      <c r="H281" s="28" t="str">
        <f>CONCATENATE(SUM($E$6:$E281)," / ",SUM($E$6:$E$370))</f>
        <v>1280 / 1280</v>
      </c>
      <c r="I281" s="209">
        <f>SUM($E$6:$E281)/(1+B281-B$6)</f>
        <v>4.63768115942029</v>
      </c>
      <c r="J281" s="24"/>
      <c r="K281" s="24"/>
      <c r="L281" s="24"/>
    </row>
    <row r="282" spans="2:12" ht="13" thickBot="1">
      <c r="B282" s="123">
        <f t="shared" si="14"/>
        <v>42281</v>
      </c>
      <c r="C282" s="124">
        <f t="shared" si="12"/>
        <v>41</v>
      </c>
      <c r="D282" s="124">
        <f t="shared" si="13"/>
        <v>10</v>
      </c>
      <c r="E282" s="28">
        <v>0</v>
      </c>
      <c r="F282" s="28" t="str">
        <f>CONCATENATE(SUMIF($C$6:$C282,C282,$E$6:$E$370)," / ",SUMIF($C$6:$C$370,C282,$E$6:$E$370))</f>
        <v>0 / 0</v>
      </c>
      <c r="G282" s="28" t="str">
        <f>CONCATENATE(SUMIF($D$6:$D282,D282,$E$6:$E$370)," / ",SUMIF($D$6:$D$370,D282,$E$6:$E$370))</f>
        <v>0 / 0</v>
      </c>
      <c r="H282" s="28" t="str">
        <f>CONCATENATE(SUM($E$6:$E282)," / ",SUM($E$6:$E$370))</f>
        <v>1280 / 1280</v>
      </c>
      <c r="I282" s="209">
        <f>SUM($E$6:$E282)/(1+B282-B$6)</f>
        <v>4.6209386281588447</v>
      </c>
      <c r="J282" s="24"/>
      <c r="K282" s="24"/>
      <c r="L282" s="24"/>
    </row>
    <row r="283" spans="2:12" ht="13" thickBot="1">
      <c r="B283" s="123">
        <f t="shared" si="14"/>
        <v>42282</v>
      </c>
      <c r="C283" s="124">
        <f t="shared" si="12"/>
        <v>41</v>
      </c>
      <c r="D283" s="124">
        <f t="shared" si="13"/>
        <v>10</v>
      </c>
      <c r="E283" s="28">
        <v>0</v>
      </c>
      <c r="F283" s="28" t="str">
        <f>CONCATENATE(SUMIF($C$6:$C283,C283,$E$6:$E$370)," / ",SUMIF($C$6:$C$370,C283,$E$6:$E$370))</f>
        <v>0 / 0</v>
      </c>
      <c r="G283" s="28" t="str">
        <f>CONCATENATE(SUMIF($D$6:$D283,D283,$E$6:$E$370)," / ",SUMIF($D$6:$D$370,D283,$E$6:$E$370))</f>
        <v>0 / 0</v>
      </c>
      <c r="H283" s="28" t="str">
        <f>CONCATENATE(SUM($E$6:$E283)," / ",SUM($E$6:$E$370))</f>
        <v>1280 / 1280</v>
      </c>
      <c r="I283" s="209">
        <f>SUM($E$6:$E283)/(1+B283-B$6)</f>
        <v>4.6043165467625897</v>
      </c>
      <c r="J283" s="24"/>
      <c r="K283" s="24"/>
      <c r="L283" s="24"/>
    </row>
    <row r="284" spans="2:12" ht="13" thickBot="1">
      <c r="B284" s="123">
        <f t="shared" si="14"/>
        <v>42283</v>
      </c>
      <c r="C284" s="124">
        <f t="shared" si="12"/>
        <v>41</v>
      </c>
      <c r="D284" s="124">
        <f t="shared" si="13"/>
        <v>10</v>
      </c>
      <c r="E284" s="28">
        <v>0</v>
      </c>
      <c r="F284" s="28" t="str">
        <f>CONCATENATE(SUMIF($C$6:$C284,C284,$E$6:$E$370)," / ",SUMIF($C$6:$C$370,C284,$E$6:$E$370))</f>
        <v>0 / 0</v>
      </c>
      <c r="G284" s="28" t="str">
        <f>CONCATENATE(SUMIF($D$6:$D284,D284,$E$6:$E$370)," / ",SUMIF($D$6:$D$370,D284,$E$6:$E$370))</f>
        <v>0 / 0</v>
      </c>
      <c r="H284" s="28" t="str">
        <f>CONCATENATE(SUM($E$6:$E284)," / ",SUM($E$6:$E$370))</f>
        <v>1280 / 1280</v>
      </c>
      <c r="I284" s="209">
        <f>SUM($E$6:$E284)/(1+B284-B$6)</f>
        <v>4.5878136200716844</v>
      </c>
      <c r="J284" s="24"/>
      <c r="K284" s="24"/>
      <c r="L284" s="24"/>
    </row>
    <row r="285" spans="2:12" ht="13" thickBot="1">
      <c r="B285" s="123">
        <f t="shared" si="14"/>
        <v>42284</v>
      </c>
      <c r="C285" s="124">
        <f t="shared" si="12"/>
        <v>41</v>
      </c>
      <c r="D285" s="124">
        <f t="shared" si="13"/>
        <v>10</v>
      </c>
      <c r="E285" s="28">
        <v>0</v>
      </c>
      <c r="F285" s="28" t="str">
        <f>CONCATENATE(SUMIF($C$6:$C285,C285,$E$6:$E$370)," / ",SUMIF($C$6:$C$370,C285,$E$6:$E$370))</f>
        <v>0 / 0</v>
      </c>
      <c r="G285" s="28" t="str">
        <f>CONCATENATE(SUMIF($D$6:$D285,D285,$E$6:$E$370)," / ",SUMIF($D$6:$D$370,D285,$E$6:$E$370))</f>
        <v>0 / 0</v>
      </c>
      <c r="H285" s="28" t="str">
        <f>CONCATENATE(SUM($E$6:$E285)," / ",SUM($E$6:$E$370))</f>
        <v>1280 / 1280</v>
      </c>
      <c r="I285" s="209">
        <f>SUM($E$6:$E285)/(1+B285-B$6)</f>
        <v>4.5714285714285712</v>
      </c>
      <c r="J285" s="24"/>
      <c r="K285" s="24"/>
      <c r="L285" s="24"/>
    </row>
    <row r="286" spans="2:12" ht="13" thickBot="1">
      <c r="B286" s="123">
        <f t="shared" si="14"/>
        <v>42285</v>
      </c>
      <c r="C286" s="124">
        <f t="shared" si="12"/>
        <v>41</v>
      </c>
      <c r="D286" s="124">
        <f t="shared" si="13"/>
        <v>10</v>
      </c>
      <c r="E286" s="28">
        <v>0</v>
      </c>
      <c r="F286" s="28" t="str">
        <f>CONCATENATE(SUMIF($C$6:$C286,C286,$E$6:$E$370)," / ",SUMIF($C$6:$C$370,C286,$E$6:$E$370))</f>
        <v>0 / 0</v>
      </c>
      <c r="G286" s="28" t="str">
        <f>CONCATENATE(SUMIF($D$6:$D286,D286,$E$6:$E$370)," / ",SUMIF($D$6:$D$370,D286,$E$6:$E$370))</f>
        <v>0 / 0</v>
      </c>
      <c r="H286" s="28" t="str">
        <f>CONCATENATE(SUM($E$6:$E286)," / ",SUM($E$6:$E$370))</f>
        <v>1280 / 1280</v>
      </c>
      <c r="I286" s="209">
        <f>SUM($E$6:$E286)/(1+B286-B$6)</f>
        <v>4.5551601423487549</v>
      </c>
      <c r="J286" s="24"/>
      <c r="K286" s="24"/>
      <c r="L286" s="24"/>
    </row>
    <row r="287" spans="2:12" ht="13" thickBot="1">
      <c r="B287" s="123">
        <f t="shared" si="14"/>
        <v>42286</v>
      </c>
      <c r="C287" s="124">
        <f t="shared" si="12"/>
        <v>41</v>
      </c>
      <c r="D287" s="124">
        <f t="shared" si="13"/>
        <v>10</v>
      </c>
      <c r="E287" s="28">
        <v>0</v>
      </c>
      <c r="F287" s="28" t="str">
        <f>CONCATENATE(SUMIF($C$6:$C287,C287,$E$6:$E$370)," / ",SUMIF($C$6:$C$370,C287,$E$6:$E$370))</f>
        <v>0 / 0</v>
      </c>
      <c r="G287" s="28" t="str">
        <f>CONCATENATE(SUMIF($D$6:$D287,D287,$E$6:$E$370)," / ",SUMIF($D$6:$D$370,D287,$E$6:$E$370))</f>
        <v>0 / 0</v>
      </c>
      <c r="H287" s="28" t="str">
        <f>CONCATENATE(SUM($E$6:$E287)," / ",SUM($E$6:$E$370))</f>
        <v>1280 / 1280</v>
      </c>
      <c r="I287" s="209">
        <f>SUM($E$6:$E287)/(1+B287-B$6)</f>
        <v>4.5390070921985819</v>
      </c>
      <c r="J287" s="24"/>
      <c r="K287" s="24"/>
      <c r="L287" s="24"/>
    </row>
    <row r="288" spans="2:12" ht="13" thickBot="1">
      <c r="B288" s="123">
        <f t="shared" si="14"/>
        <v>42287</v>
      </c>
      <c r="C288" s="124">
        <f t="shared" si="12"/>
        <v>41</v>
      </c>
      <c r="D288" s="124">
        <f t="shared" si="13"/>
        <v>10</v>
      </c>
      <c r="E288" s="28">
        <v>0</v>
      </c>
      <c r="F288" s="28" t="str">
        <f>CONCATENATE(SUMIF($C$6:$C288,C288,$E$6:$E$370)," / ",SUMIF($C$6:$C$370,C288,$E$6:$E$370))</f>
        <v>0 / 0</v>
      </c>
      <c r="G288" s="28" t="str">
        <f>CONCATENATE(SUMIF($D$6:$D288,D288,$E$6:$E$370)," / ",SUMIF($D$6:$D$370,D288,$E$6:$E$370))</f>
        <v>0 / 0</v>
      </c>
      <c r="H288" s="28" t="str">
        <f>CONCATENATE(SUM($E$6:$E288)," / ",SUM($E$6:$E$370))</f>
        <v>1280 / 1280</v>
      </c>
      <c r="I288" s="209">
        <f>SUM($E$6:$E288)/(1+B288-B$6)</f>
        <v>4.5229681978798588</v>
      </c>
      <c r="J288" s="24"/>
      <c r="K288" s="24"/>
      <c r="L288" s="24"/>
    </row>
    <row r="289" spans="2:12" ht="13" thickBot="1">
      <c r="B289" s="123">
        <f t="shared" si="14"/>
        <v>42288</v>
      </c>
      <c r="C289" s="124">
        <f t="shared" si="12"/>
        <v>42</v>
      </c>
      <c r="D289" s="124">
        <f t="shared" si="13"/>
        <v>10</v>
      </c>
      <c r="E289" s="28">
        <v>0</v>
      </c>
      <c r="F289" s="28" t="str">
        <f>CONCATENATE(SUMIF($C$6:$C289,C289,$E$6:$E$370)," / ",SUMIF($C$6:$C$370,C289,$E$6:$E$370))</f>
        <v>0 / 0</v>
      </c>
      <c r="G289" s="28" t="str">
        <f>CONCATENATE(SUMIF($D$6:$D289,D289,$E$6:$E$370)," / ",SUMIF($D$6:$D$370,D289,$E$6:$E$370))</f>
        <v>0 / 0</v>
      </c>
      <c r="H289" s="28" t="str">
        <f>CONCATENATE(SUM($E$6:$E289)," / ",SUM($E$6:$E$370))</f>
        <v>1280 / 1280</v>
      </c>
      <c r="I289" s="209">
        <f>SUM($E$6:$E289)/(1+B289-B$6)</f>
        <v>4.507042253521127</v>
      </c>
      <c r="J289" s="24"/>
      <c r="K289" s="24"/>
      <c r="L289" s="24"/>
    </row>
    <row r="290" spans="2:12" ht="13" thickBot="1">
      <c r="B290" s="123">
        <f t="shared" si="14"/>
        <v>42289</v>
      </c>
      <c r="C290" s="124">
        <f t="shared" si="12"/>
        <v>42</v>
      </c>
      <c r="D290" s="124">
        <f t="shared" si="13"/>
        <v>10</v>
      </c>
      <c r="E290" s="28">
        <v>0</v>
      </c>
      <c r="F290" s="28" t="str">
        <f>CONCATENATE(SUMIF($C$6:$C290,C290,$E$6:$E$370)," / ",SUMIF($C$6:$C$370,C290,$E$6:$E$370))</f>
        <v>0 / 0</v>
      </c>
      <c r="G290" s="28" t="str">
        <f>CONCATENATE(SUMIF($D$6:$D290,D290,$E$6:$E$370)," / ",SUMIF($D$6:$D$370,D290,$E$6:$E$370))</f>
        <v>0 / 0</v>
      </c>
      <c r="H290" s="28" t="str">
        <f>CONCATENATE(SUM($E$6:$E290)," / ",SUM($E$6:$E$370))</f>
        <v>1280 / 1280</v>
      </c>
      <c r="I290" s="209">
        <f>SUM($E$6:$E290)/(1+B290-B$6)</f>
        <v>4.4912280701754383</v>
      </c>
      <c r="J290" s="24"/>
      <c r="K290" s="24"/>
      <c r="L290" s="24"/>
    </row>
    <row r="291" spans="2:12" ht="13" thickBot="1">
      <c r="B291" s="123">
        <f t="shared" si="14"/>
        <v>42290</v>
      </c>
      <c r="C291" s="124">
        <f t="shared" si="12"/>
        <v>42</v>
      </c>
      <c r="D291" s="124">
        <f t="shared" si="13"/>
        <v>10</v>
      </c>
      <c r="E291" s="28">
        <v>0</v>
      </c>
      <c r="F291" s="28" t="str">
        <f>CONCATENATE(SUMIF($C$6:$C291,C291,$E$6:$E$370)," / ",SUMIF($C$6:$C$370,C291,$E$6:$E$370))</f>
        <v>0 / 0</v>
      </c>
      <c r="G291" s="28" t="str">
        <f>CONCATENATE(SUMIF($D$6:$D291,D291,$E$6:$E$370)," / ",SUMIF($D$6:$D$370,D291,$E$6:$E$370))</f>
        <v>0 / 0</v>
      </c>
      <c r="H291" s="28" t="str">
        <f>CONCATENATE(SUM($E$6:$E291)," / ",SUM($E$6:$E$370))</f>
        <v>1280 / 1280</v>
      </c>
      <c r="I291" s="209">
        <f>SUM($E$6:$E291)/(1+B291-B$6)</f>
        <v>4.4755244755244759</v>
      </c>
      <c r="J291" s="24"/>
      <c r="K291" s="24"/>
      <c r="L291" s="24"/>
    </row>
    <row r="292" spans="2:12" ht="13" thickBot="1">
      <c r="B292" s="123">
        <f t="shared" si="14"/>
        <v>42291</v>
      </c>
      <c r="C292" s="124">
        <f t="shared" si="12"/>
        <v>42</v>
      </c>
      <c r="D292" s="124">
        <f t="shared" si="13"/>
        <v>10</v>
      </c>
      <c r="E292" s="28">
        <v>0</v>
      </c>
      <c r="F292" s="28" t="str">
        <f>CONCATENATE(SUMIF($C$6:$C292,C292,$E$6:$E$370)," / ",SUMIF($C$6:$C$370,C292,$E$6:$E$370))</f>
        <v>0 / 0</v>
      </c>
      <c r="G292" s="28" t="str">
        <f>CONCATENATE(SUMIF($D$6:$D292,D292,$E$6:$E$370)," / ",SUMIF($D$6:$D$370,D292,$E$6:$E$370))</f>
        <v>0 / 0</v>
      </c>
      <c r="H292" s="28" t="str">
        <f>CONCATENATE(SUM($E$6:$E292)," / ",SUM($E$6:$E$370))</f>
        <v>1280 / 1280</v>
      </c>
      <c r="I292" s="209">
        <f>SUM($E$6:$E292)/(1+B292-B$6)</f>
        <v>4.4599303135888499</v>
      </c>
      <c r="J292" s="24"/>
      <c r="K292" s="24"/>
      <c r="L292" s="24"/>
    </row>
    <row r="293" spans="2:12" ht="13" thickBot="1">
      <c r="B293" s="123">
        <f t="shared" si="14"/>
        <v>42292</v>
      </c>
      <c r="C293" s="124">
        <f t="shared" si="12"/>
        <v>42</v>
      </c>
      <c r="D293" s="124">
        <f t="shared" si="13"/>
        <v>10</v>
      </c>
      <c r="E293" s="28">
        <v>0</v>
      </c>
      <c r="F293" s="28" t="str">
        <f>CONCATENATE(SUMIF($C$6:$C293,C293,$E$6:$E$370)," / ",SUMIF($C$6:$C$370,C293,$E$6:$E$370))</f>
        <v>0 / 0</v>
      </c>
      <c r="G293" s="28" t="str">
        <f>CONCATENATE(SUMIF($D$6:$D293,D293,$E$6:$E$370)," / ",SUMIF($D$6:$D$370,D293,$E$6:$E$370))</f>
        <v>0 / 0</v>
      </c>
      <c r="H293" s="28" t="str">
        <f>CONCATENATE(SUM($E$6:$E293)," / ",SUM($E$6:$E$370))</f>
        <v>1280 / 1280</v>
      </c>
      <c r="I293" s="209">
        <f>SUM($E$6:$E293)/(1+B293-B$6)</f>
        <v>4.4444444444444446</v>
      </c>
      <c r="J293" s="24"/>
      <c r="K293" s="24"/>
      <c r="L293" s="24"/>
    </row>
    <row r="294" spans="2:12" ht="13" thickBot="1">
      <c r="B294" s="123">
        <f t="shared" si="14"/>
        <v>42293</v>
      </c>
      <c r="C294" s="124">
        <f t="shared" si="12"/>
        <v>42</v>
      </c>
      <c r="D294" s="124">
        <f t="shared" si="13"/>
        <v>10</v>
      </c>
      <c r="E294" s="28">
        <v>0</v>
      </c>
      <c r="F294" s="28" t="str">
        <f>CONCATENATE(SUMIF($C$6:$C294,C294,$E$6:$E$370)," / ",SUMIF($C$6:$C$370,C294,$E$6:$E$370))</f>
        <v>0 / 0</v>
      </c>
      <c r="G294" s="28" t="str">
        <f>CONCATENATE(SUMIF($D$6:$D294,D294,$E$6:$E$370)," / ",SUMIF($D$6:$D$370,D294,$E$6:$E$370))</f>
        <v>0 / 0</v>
      </c>
      <c r="H294" s="28" t="str">
        <f>CONCATENATE(SUM($E$6:$E294)," / ",SUM($E$6:$E$370))</f>
        <v>1280 / 1280</v>
      </c>
      <c r="I294" s="209">
        <f>SUM($E$6:$E294)/(1+B294-B$6)</f>
        <v>4.429065743944637</v>
      </c>
      <c r="J294" s="24"/>
      <c r="K294" s="24"/>
      <c r="L294" s="24"/>
    </row>
    <row r="295" spans="2:12" ht="13" thickBot="1">
      <c r="B295" s="123">
        <f t="shared" si="14"/>
        <v>42294</v>
      </c>
      <c r="C295" s="124">
        <f t="shared" si="12"/>
        <v>42</v>
      </c>
      <c r="D295" s="124">
        <f t="shared" si="13"/>
        <v>10</v>
      </c>
      <c r="E295" s="28">
        <v>0</v>
      </c>
      <c r="F295" s="28" t="str">
        <f>CONCATENATE(SUMIF($C$6:$C295,C295,$E$6:$E$370)," / ",SUMIF($C$6:$C$370,C295,$E$6:$E$370))</f>
        <v>0 / 0</v>
      </c>
      <c r="G295" s="28" t="str">
        <f>CONCATENATE(SUMIF($D$6:$D295,D295,$E$6:$E$370)," / ",SUMIF($D$6:$D$370,D295,$E$6:$E$370))</f>
        <v>0 / 0</v>
      </c>
      <c r="H295" s="28" t="str">
        <f>CONCATENATE(SUM($E$6:$E295)," / ",SUM($E$6:$E$370))</f>
        <v>1280 / 1280</v>
      </c>
      <c r="I295" s="209">
        <f>SUM($E$6:$E295)/(1+B295-B$6)</f>
        <v>4.4137931034482758</v>
      </c>
      <c r="J295" s="24"/>
      <c r="K295" s="24"/>
      <c r="L295" s="24"/>
    </row>
    <row r="296" spans="2:12" ht="13" thickBot="1">
      <c r="B296" s="123">
        <f t="shared" si="14"/>
        <v>42295</v>
      </c>
      <c r="C296" s="124">
        <f t="shared" si="12"/>
        <v>43</v>
      </c>
      <c r="D296" s="124">
        <f t="shared" si="13"/>
        <v>10</v>
      </c>
      <c r="E296" s="28">
        <v>0</v>
      </c>
      <c r="F296" s="28" t="str">
        <f>CONCATENATE(SUMIF($C$6:$C296,C296,$E$6:$E$370)," / ",SUMIF($C$6:$C$370,C296,$E$6:$E$370))</f>
        <v>0 / 0</v>
      </c>
      <c r="G296" s="28" t="str">
        <f>CONCATENATE(SUMIF($D$6:$D296,D296,$E$6:$E$370)," / ",SUMIF($D$6:$D$370,D296,$E$6:$E$370))</f>
        <v>0 / 0</v>
      </c>
      <c r="H296" s="28" t="str">
        <f>CONCATENATE(SUM($E$6:$E296)," / ",SUM($E$6:$E$370))</f>
        <v>1280 / 1280</v>
      </c>
      <c r="I296" s="209">
        <f>SUM($E$6:$E296)/(1+B296-B$6)</f>
        <v>4.398625429553265</v>
      </c>
      <c r="J296" s="24"/>
      <c r="K296" s="24"/>
      <c r="L296" s="24"/>
    </row>
    <row r="297" spans="2:12" ht="13" thickBot="1">
      <c r="B297" s="123">
        <f t="shared" si="14"/>
        <v>42296</v>
      </c>
      <c r="C297" s="124">
        <f t="shared" si="12"/>
        <v>43</v>
      </c>
      <c r="D297" s="124">
        <f t="shared" si="13"/>
        <v>10</v>
      </c>
      <c r="E297" s="28">
        <v>0</v>
      </c>
      <c r="F297" s="28" t="str">
        <f>CONCATENATE(SUMIF($C$6:$C297,C297,$E$6:$E$370)," / ",SUMIF($C$6:$C$370,C297,$E$6:$E$370))</f>
        <v>0 / 0</v>
      </c>
      <c r="G297" s="28" t="str">
        <f>CONCATENATE(SUMIF($D$6:$D297,D297,$E$6:$E$370)," / ",SUMIF($D$6:$D$370,D297,$E$6:$E$370))</f>
        <v>0 / 0</v>
      </c>
      <c r="H297" s="28" t="str">
        <f>CONCATENATE(SUM($E$6:$E297)," / ",SUM($E$6:$E$370))</f>
        <v>1280 / 1280</v>
      </c>
      <c r="I297" s="209">
        <f>SUM($E$6:$E297)/(1+B297-B$6)</f>
        <v>4.3835616438356162</v>
      </c>
      <c r="J297" s="24"/>
      <c r="K297" s="24"/>
      <c r="L297" s="24"/>
    </row>
    <row r="298" spans="2:12" ht="13" thickBot="1">
      <c r="B298" s="123">
        <f t="shared" si="14"/>
        <v>42297</v>
      </c>
      <c r="C298" s="124">
        <f t="shared" si="12"/>
        <v>43</v>
      </c>
      <c r="D298" s="124">
        <f t="shared" si="13"/>
        <v>10</v>
      </c>
      <c r="E298" s="28">
        <v>0</v>
      </c>
      <c r="F298" s="28" t="str">
        <f>CONCATENATE(SUMIF($C$6:$C298,C298,$E$6:$E$370)," / ",SUMIF($C$6:$C$370,C298,$E$6:$E$370))</f>
        <v>0 / 0</v>
      </c>
      <c r="G298" s="28" t="str">
        <f>CONCATENATE(SUMIF($D$6:$D298,D298,$E$6:$E$370)," / ",SUMIF($D$6:$D$370,D298,$E$6:$E$370))</f>
        <v>0 / 0</v>
      </c>
      <c r="H298" s="28" t="str">
        <f>CONCATENATE(SUM($E$6:$E298)," / ",SUM($E$6:$E$370))</f>
        <v>1280 / 1280</v>
      </c>
      <c r="I298" s="209">
        <f>SUM($E$6:$E298)/(1+B298-B$6)</f>
        <v>4.3686006825938568</v>
      </c>
      <c r="J298" s="24"/>
      <c r="K298" s="24"/>
      <c r="L298" s="24"/>
    </row>
    <row r="299" spans="2:12" ht="13" thickBot="1">
      <c r="B299" s="123">
        <f t="shared" si="14"/>
        <v>42298</v>
      </c>
      <c r="C299" s="124">
        <f t="shared" si="12"/>
        <v>43</v>
      </c>
      <c r="D299" s="124">
        <f t="shared" si="13"/>
        <v>10</v>
      </c>
      <c r="E299" s="28">
        <v>0</v>
      </c>
      <c r="F299" s="28" t="str">
        <f>CONCATENATE(SUMIF($C$6:$C299,C299,$E$6:$E$370)," / ",SUMIF($C$6:$C$370,C299,$E$6:$E$370))</f>
        <v>0 / 0</v>
      </c>
      <c r="G299" s="28" t="str">
        <f>CONCATENATE(SUMIF($D$6:$D299,D299,$E$6:$E$370)," / ",SUMIF($D$6:$D$370,D299,$E$6:$E$370))</f>
        <v>0 / 0</v>
      </c>
      <c r="H299" s="28" t="str">
        <f>CONCATENATE(SUM($E$6:$E299)," / ",SUM($E$6:$E$370))</f>
        <v>1280 / 1280</v>
      </c>
      <c r="I299" s="209">
        <f>SUM($E$6:$E299)/(1+B299-B$6)</f>
        <v>4.3537414965986398</v>
      </c>
      <c r="J299" s="24"/>
      <c r="K299" s="24"/>
      <c r="L299" s="24"/>
    </row>
    <row r="300" spans="2:12" ht="13" thickBot="1">
      <c r="B300" s="123">
        <f t="shared" si="14"/>
        <v>42299</v>
      </c>
      <c r="C300" s="124">
        <f t="shared" si="12"/>
        <v>43</v>
      </c>
      <c r="D300" s="124">
        <f t="shared" si="13"/>
        <v>10</v>
      </c>
      <c r="E300" s="28">
        <v>0</v>
      </c>
      <c r="F300" s="28" t="str">
        <f>CONCATENATE(SUMIF($C$6:$C300,C300,$E$6:$E$370)," / ",SUMIF($C$6:$C$370,C300,$E$6:$E$370))</f>
        <v>0 / 0</v>
      </c>
      <c r="G300" s="28" t="str">
        <f>CONCATENATE(SUMIF($D$6:$D300,D300,$E$6:$E$370)," / ",SUMIF($D$6:$D$370,D300,$E$6:$E$370))</f>
        <v>0 / 0</v>
      </c>
      <c r="H300" s="28" t="str">
        <f>CONCATENATE(SUM($E$6:$E300)," / ",SUM($E$6:$E$370))</f>
        <v>1280 / 1280</v>
      </c>
      <c r="I300" s="209">
        <f>SUM($E$6:$E300)/(1+B300-B$6)</f>
        <v>4.3389830508474576</v>
      </c>
      <c r="J300" s="24"/>
      <c r="K300" s="24"/>
      <c r="L300" s="24"/>
    </row>
    <row r="301" spans="2:12" ht="13" thickBot="1">
      <c r="B301" s="123">
        <f t="shared" si="14"/>
        <v>42300</v>
      </c>
      <c r="C301" s="124">
        <f t="shared" si="12"/>
        <v>43</v>
      </c>
      <c r="D301" s="124">
        <f t="shared" si="13"/>
        <v>10</v>
      </c>
      <c r="E301" s="28">
        <v>0</v>
      </c>
      <c r="F301" s="28" t="str">
        <f>CONCATENATE(SUMIF($C$6:$C301,C301,$E$6:$E$370)," / ",SUMIF($C$6:$C$370,C301,$E$6:$E$370))</f>
        <v>0 / 0</v>
      </c>
      <c r="G301" s="28" t="str">
        <f>CONCATENATE(SUMIF($D$6:$D301,D301,$E$6:$E$370)," / ",SUMIF($D$6:$D$370,D301,$E$6:$E$370))</f>
        <v>0 / 0</v>
      </c>
      <c r="H301" s="28" t="str">
        <f>CONCATENATE(SUM($E$6:$E301)," / ",SUM($E$6:$E$370))</f>
        <v>1280 / 1280</v>
      </c>
      <c r="I301" s="209">
        <f>SUM($E$6:$E301)/(1+B301-B$6)</f>
        <v>4.3243243243243246</v>
      </c>
      <c r="J301" s="24"/>
      <c r="K301" s="24"/>
      <c r="L301" s="24"/>
    </row>
    <row r="302" spans="2:12" ht="13" thickBot="1">
      <c r="B302" s="123">
        <f t="shared" si="14"/>
        <v>42301</v>
      </c>
      <c r="C302" s="124">
        <f t="shared" si="12"/>
        <v>43</v>
      </c>
      <c r="D302" s="124">
        <f t="shared" si="13"/>
        <v>10</v>
      </c>
      <c r="E302" s="28">
        <v>0</v>
      </c>
      <c r="F302" s="28" t="str">
        <f>CONCATENATE(SUMIF($C$6:$C302,C302,$E$6:$E$370)," / ",SUMIF($C$6:$C$370,C302,$E$6:$E$370))</f>
        <v>0 / 0</v>
      </c>
      <c r="G302" s="28" t="str">
        <f>CONCATENATE(SUMIF($D$6:$D302,D302,$E$6:$E$370)," / ",SUMIF($D$6:$D$370,D302,$E$6:$E$370))</f>
        <v>0 / 0</v>
      </c>
      <c r="H302" s="28" t="str">
        <f>CONCATENATE(SUM($E$6:$E302)," / ",SUM($E$6:$E$370))</f>
        <v>1280 / 1280</v>
      </c>
      <c r="I302" s="209">
        <f>SUM($E$6:$E302)/(1+B302-B$6)</f>
        <v>4.3097643097643097</v>
      </c>
      <c r="J302" s="24"/>
      <c r="K302" s="24"/>
      <c r="L302" s="24"/>
    </row>
    <row r="303" spans="2:12" ht="13" thickBot="1">
      <c r="B303" s="123">
        <f t="shared" si="14"/>
        <v>42302</v>
      </c>
      <c r="C303" s="124">
        <f t="shared" si="12"/>
        <v>44</v>
      </c>
      <c r="D303" s="124">
        <f t="shared" si="13"/>
        <v>10</v>
      </c>
      <c r="E303" s="28">
        <v>0</v>
      </c>
      <c r="F303" s="28" t="str">
        <f>CONCATENATE(SUMIF($C$6:$C303,C303,$E$6:$E$370)," / ",SUMIF($C$6:$C$370,C303,$E$6:$E$370))</f>
        <v>0 / 0</v>
      </c>
      <c r="G303" s="28" t="str">
        <f>CONCATENATE(SUMIF($D$6:$D303,D303,$E$6:$E$370)," / ",SUMIF($D$6:$D$370,D303,$E$6:$E$370))</f>
        <v>0 / 0</v>
      </c>
      <c r="H303" s="28" t="str">
        <f>CONCATENATE(SUM($E$6:$E303)," / ",SUM($E$6:$E$370))</f>
        <v>1280 / 1280</v>
      </c>
      <c r="I303" s="209">
        <f>SUM($E$6:$E303)/(1+B303-B$6)</f>
        <v>4.2953020134228188</v>
      </c>
      <c r="J303" s="24"/>
      <c r="K303" s="24"/>
      <c r="L303" s="24"/>
    </row>
    <row r="304" spans="2:12" ht="13" thickBot="1">
      <c r="B304" s="123">
        <f t="shared" si="14"/>
        <v>42303</v>
      </c>
      <c r="C304" s="124">
        <f t="shared" si="12"/>
        <v>44</v>
      </c>
      <c r="D304" s="124">
        <f t="shared" si="13"/>
        <v>10</v>
      </c>
      <c r="E304" s="28">
        <v>0</v>
      </c>
      <c r="F304" s="28" t="str">
        <f>CONCATENATE(SUMIF($C$6:$C304,C304,$E$6:$E$370)," / ",SUMIF($C$6:$C$370,C304,$E$6:$E$370))</f>
        <v>0 / 0</v>
      </c>
      <c r="G304" s="28" t="str">
        <f>CONCATENATE(SUMIF($D$6:$D304,D304,$E$6:$E$370)," / ",SUMIF($D$6:$D$370,D304,$E$6:$E$370))</f>
        <v>0 / 0</v>
      </c>
      <c r="H304" s="28" t="str">
        <f>CONCATENATE(SUM($E$6:$E304)," / ",SUM($E$6:$E$370))</f>
        <v>1280 / 1280</v>
      </c>
      <c r="I304" s="209">
        <f>SUM($E$6:$E304)/(1+B304-B$6)</f>
        <v>4.2809364548494981</v>
      </c>
      <c r="J304" s="24"/>
      <c r="K304" s="24"/>
      <c r="L304" s="24"/>
    </row>
    <row r="305" spans="2:12" ht="13" thickBot="1">
      <c r="B305" s="123">
        <f t="shared" si="14"/>
        <v>42304</v>
      </c>
      <c r="C305" s="124">
        <f t="shared" si="12"/>
        <v>44</v>
      </c>
      <c r="D305" s="124">
        <f t="shared" si="13"/>
        <v>10</v>
      </c>
      <c r="E305" s="28">
        <v>0</v>
      </c>
      <c r="F305" s="28" t="str">
        <f>CONCATENATE(SUMIF($C$6:$C305,C305,$E$6:$E$370)," / ",SUMIF($C$6:$C$370,C305,$E$6:$E$370))</f>
        <v>0 / 0</v>
      </c>
      <c r="G305" s="28" t="str">
        <f>CONCATENATE(SUMIF($D$6:$D305,D305,$E$6:$E$370)," / ",SUMIF($D$6:$D$370,D305,$E$6:$E$370))</f>
        <v>0 / 0</v>
      </c>
      <c r="H305" s="28" t="str">
        <f>CONCATENATE(SUM($E$6:$E305)," / ",SUM($E$6:$E$370))</f>
        <v>1280 / 1280</v>
      </c>
      <c r="I305" s="209">
        <f>SUM($E$6:$E305)/(1+B305-B$6)</f>
        <v>4.2666666666666666</v>
      </c>
      <c r="J305" s="24"/>
      <c r="K305" s="24"/>
      <c r="L305" s="24"/>
    </row>
    <row r="306" spans="2:12" ht="13" thickBot="1">
      <c r="B306" s="123">
        <f t="shared" si="14"/>
        <v>42305</v>
      </c>
      <c r="C306" s="124">
        <f t="shared" si="12"/>
        <v>44</v>
      </c>
      <c r="D306" s="124">
        <f t="shared" si="13"/>
        <v>10</v>
      </c>
      <c r="E306" s="28">
        <v>0</v>
      </c>
      <c r="F306" s="28" t="str">
        <f>CONCATENATE(SUMIF($C$6:$C306,C306,$E$6:$E$370)," / ",SUMIF($C$6:$C$370,C306,$E$6:$E$370))</f>
        <v>0 / 0</v>
      </c>
      <c r="G306" s="28" t="str">
        <f>CONCATENATE(SUMIF($D$6:$D306,D306,$E$6:$E$370)," / ",SUMIF($D$6:$D$370,D306,$E$6:$E$370))</f>
        <v>0 / 0</v>
      </c>
      <c r="H306" s="28" t="str">
        <f>CONCATENATE(SUM($E$6:$E306)," / ",SUM($E$6:$E$370))</f>
        <v>1280 / 1280</v>
      </c>
      <c r="I306" s="209">
        <f>SUM($E$6:$E306)/(1+B306-B$6)</f>
        <v>4.2524916943521598</v>
      </c>
      <c r="J306" s="24"/>
      <c r="K306" s="24"/>
      <c r="L306" s="24"/>
    </row>
    <row r="307" spans="2:12" ht="13" thickBot="1">
      <c r="B307" s="123">
        <f t="shared" si="14"/>
        <v>42306</v>
      </c>
      <c r="C307" s="124">
        <f t="shared" si="12"/>
        <v>44</v>
      </c>
      <c r="D307" s="124">
        <f t="shared" si="13"/>
        <v>10</v>
      </c>
      <c r="E307" s="28">
        <v>0</v>
      </c>
      <c r="F307" s="28" t="str">
        <f>CONCATENATE(SUMIF($C$6:$C307,C307,$E$6:$E$370)," / ",SUMIF($C$6:$C$370,C307,$E$6:$E$370))</f>
        <v>0 / 0</v>
      </c>
      <c r="G307" s="28" t="str">
        <f>CONCATENATE(SUMIF($D$6:$D307,D307,$E$6:$E$370)," / ",SUMIF($D$6:$D$370,D307,$E$6:$E$370))</f>
        <v>0 / 0</v>
      </c>
      <c r="H307" s="28" t="str">
        <f>CONCATENATE(SUM($E$6:$E307)," / ",SUM($E$6:$E$370))</f>
        <v>1280 / 1280</v>
      </c>
      <c r="I307" s="209">
        <f>SUM($E$6:$E307)/(1+B307-B$6)</f>
        <v>4.2384105960264904</v>
      </c>
      <c r="J307" s="24"/>
      <c r="K307" s="24"/>
      <c r="L307" s="24"/>
    </row>
    <row r="308" spans="2:12" ht="13" thickBot="1">
      <c r="B308" s="123">
        <f t="shared" si="14"/>
        <v>42307</v>
      </c>
      <c r="C308" s="124">
        <f t="shared" si="12"/>
        <v>44</v>
      </c>
      <c r="D308" s="124">
        <f t="shared" si="13"/>
        <v>10</v>
      </c>
      <c r="E308" s="28">
        <v>0</v>
      </c>
      <c r="F308" s="28" t="str">
        <f>CONCATENATE(SUMIF($C$6:$C308,C308,$E$6:$E$370)," / ",SUMIF($C$6:$C$370,C308,$E$6:$E$370))</f>
        <v>0 / 0</v>
      </c>
      <c r="G308" s="28" t="str">
        <f>CONCATENATE(SUMIF($D$6:$D308,D308,$E$6:$E$370)," / ",SUMIF($D$6:$D$370,D308,$E$6:$E$370))</f>
        <v>0 / 0</v>
      </c>
      <c r="H308" s="28" t="str">
        <f>CONCATENATE(SUM($E$6:$E308)," / ",SUM($E$6:$E$370))</f>
        <v>1280 / 1280</v>
      </c>
      <c r="I308" s="209">
        <f>SUM($E$6:$E308)/(1+B308-B$6)</f>
        <v>4.224422442244224</v>
      </c>
      <c r="J308" s="24"/>
      <c r="K308" s="24"/>
      <c r="L308" s="24"/>
    </row>
    <row r="309" spans="2:12" ht="13" thickBot="1">
      <c r="B309" s="123">
        <f t="shared" si="14"/>
        <v>42308</v>
      </c>
      <c r="C309" s="124">
        <f t="shared" si="12"/>
        <v>44</v>
      </c>
      <c r="D309" s="124">
        <f t="shared" si="13"/>
        <v>10</v>
      </c>
      <c r="E309" s="28">
        <v>0</v>
      </c>
      <c r="F309" s="28" t="str">
        <f>CONCATENATE(SUMIF($C$6:$C309,C309,$E$6:$E$370)," / ",SUMIF($C$6:$C$370,C309,$E$6:$E$370))</f>
        <v>0 / 0</v>
      </c>
      <c r="G309" s="28" t="str">
        <f>CONCATENATE(SUMIF($D$6:$D309,D309,$E$6:$E$370)," / ",SUMIF($D$6:$D$370,D309,$E$6:$E$370))</f>
        <v>0 / 0</v>
      </c>
      <c r="H309" s="28" t="str">
        <f>CONCATENATE(SUM($E$6:$E309)," / ",SUM($E$6:$E$370))</f>
        <v>1280 / 1280</v>
      </c>
      <c r="I309" s="209">
        <f>SUM($E$6:$E309)/(1+B309-B$6)</f>
        <v>4.2105263157894735</v>
      </c>
      <c r="J309" s="24"/>
      <c r="K309" s="24"/>
      <c r="L309" s="24"/>
    </row>
    <row r="310" spans="2:12" ht="13" thickBot="1">
      <c r="B310" s="123">
        <f t="shared" si="14"/>
        <v>42309</v>
      </c>
      <c r="C310" s="124">
        <f t="shared" si="12"/>
        <v>45</v>
      </c>
      <c r="D310" s="124">
        <f t="shared" si="13"/>
        <v>11</v>
      </c>
      <c r="E310" s="28">
        <v>0</v>
      </c>
      <c r="F310" s="28" t="str">
        <f>CONCATENATE(SUMIF($C$6:$C310,C310,$E$6:$E$370)," / ",SUMIF($C$6:$C$370,C310,$E$6:$E$370))</f>
        <v>0 / 0</v>
      </c>
      <c r="G310" s="28" t="str">
        <f>CONCATENATE(SUMIF($D$6:$D310,D310,$E$6:$E$370)," / ",SUMIF($D$6:$D$370,D310,$E$6:$E$370))</f>
        <v>0 / 0</v>
      </c>
      <c r="H310" s="28" t="str">
        <f>CONCATENATE(SUM($E$6:$E310)," / ",SUM($E$6:$E$370))</f>
        <v>1280 / 1280</v>
      </c>
      <c r="I310" s="209">
        <f>SUM($E$6:$E310)/(1+B310-B$6)</f>
        <v>4.1967213114754101</v>
      </c>
      <c r="J310" s="24"/>
      <c r="K310" s="24"/>
      <c r="L310" s="24"/>
    </row>
    <row r="311" spans="2:12" ht="13" thickBot="1">
      <c r="B311" s="123">
        <f t="shared" si="14"/>
        <v>42310</v>
      </c>
      <c r="C311" s="124">
        <f t="shared" si="12"/>
        <v>45</v>
      </c>
      <c r="D311" s="124">
        <f t="shared" si="13"/>
        <v>11</v>
      </c>
      <c r="E311" s="28">
        <v>0</v>
      </c>
      <c r="F311" s="28" t="str">
        <f>CONCATENATE(SUMIF($C$6:$C311,C311,$E$6:$E$370)," / ",SUMIF($C$6:$C$370,C311,$E$6:$E$370))</f>
        <v>0 / 0</v>
      </c>
      <c r="G311" s="28" t="str">
        <f>CONCATENATE(SUMIF($D$6:$D311,D311,$E$6:$E$370)," / ",SUMIF($D$6:$D$370,D311,$E$6:$E$370))</f>
        <v>0 / 0</v>
      </c>
      <c r="H311" s="28" t="str">
        <f>CONCATENATE(SUM($E$6:$E311)," / ",SUM($E$6:$E$370))</f>
        <v>1280 / 1280</v>
      </c>
      <c r="I311" s="209">
        <f>SUM($E$6:$E311)/(1+B311-B$6)</f>
        <v>4.1830065359477127</v>
      </c>
      <c r="J311" s="24"/>
      <c r="K311" s="24"/>
      <c r="L311" s="24"/>
    </row>
    <row r="312" spans="2:12" ht="13" thickBot="1">
      <c r="B312" s="123">
        <f t="shared" si="14"/>
        <v>42311</v>
      </c>
      <c r="C312" s="124">
        <f t="shared" si="12"/>
        <v>45</v>
      </c>
      <c r="D312" s="124">
        <f t="shared" si="13"/>
        <v>11</v>
      </c>
      <c r="E312" s="28">
        <v>0</v>
      </c>
      <c r="F312" s="28" t="str">
        <f>CONCATENATE(SUMIF($C$6:$C312,C312,$E$6:$E$370)," / ",SUMIF($C$6:$C$370,C312,$E$6:$E$370))</f>
        <v>0 / 0</v>
      </c>
      <c r="G312" s="28" t="str">
        <f>CONCATENATE(SUMIF($D$6:$D312,D312,$E$6:$E$370)," / ",SUMIF($D$6:$D$370,D312,$E$6:$E$370))</f>
        <v>0 / 0</v>
      </c>
      <c r="H312" s="28" t="str">
        <f>CONCATENATE(SUM($E$6:$E312)," / ",SUM($E$6:$E$370))</f>
        <v>1280 / 1280</v>
      </c>
      <c r="I312" s="209">
        <f>SUM($E$6:$E312)/(1+B312-B$6)</f>
        <v>4.1693811074918568</v>
      </c>
      <c r="J312" s="24"/>
      <c r="K312" s="24"/>
      <c r="L312" s="24"/>
    </row>
    <row r="313" spans="2:12" ht="13" thickBot="1">
      <c r="B313" s="123">
        <f t="shared" si="14"/>
        <v>42312</v>
      </c>
      <c r="C313" s="124">
        <f t="shared" si="12"/>
        <v>45</v>
      </c>
      <c r="D313" s="124">
        <f t="shared" si="13"/>
        <v>11</v>
      </c>
      <c r="E313" s="28">
        <v>0</v>
      </c>
      <c r="F313" s="28" t="str">
        <f>CONCATENATE(SUMIF($C$6:$C313,C313,$E$6:$E$370)," / ",SUMIF($C$6:$C$370,C313,$E$6:$E$370))</f>
        <v>0 / 0</v>
      </c>
      <c r="G313" s="28" t="str">
        <f>CONCATENATE(SUMIF($D$6:$D313,D313,$E$6:$E$370)," / ",SUMIF($D$6:$D$370,D313,$E$6:$E$370))</f>
        <v>0 / 0</v>
      </c>
      <c r="H313" s="28" t="str">
        <f>CONCATENATE(SUM($E$6:$E313)," / ",SUM($E$6:$E$370))</f>
        <v>1280 / 1280</v>
      </c>
      <c r="I313" s="209">
        <f>SUM($E$6:$E313)/(1+B313-B$6)</f>
        <v>4.1558441558441555</v>
      </c>
      <c r="J313" s="24"/>
      <c r="K313" s="24"/>
      <c r="L313" s="24"/>
    </row>
    <row r="314" spans="2:12" ht="13" thickBot="1">
      <c r="B314" s="123">
        <f t="shared" si="14"/>
        <v>42313</v>
      </c>
      <c r="C314" s="124">
        <f t="shared" si="12"/>
        <v>45</v>
      </c>
      <c r="D314" s="124">
        <f t="shared" si="13"/>
        <v>11</v>
      </c>
      <c r="E314" s="28">
        <v>0</v>
      </c>
      <c r="F314" s="28" t="str">
        <f>CONCATENATE(SUMIF($C$6:$C314,C314,$E$6:$E$370)," / ",SUMIF($C$6:$C$370,C314,$E$6:$E$370))</f>
        <v>0 / 0</v>
      </c>
      <c r="G314" s="28" t="str">
        <f>CONCATENATE(SUMIF($D$6:$D314,D314,$E$6:$E$370)," / ",SUMIF($D$6:$D$370,D314,$E$6:$E$370))</f>
        <v>0 / 0</v>
      </c>
      <c r="H314" s="28" t="str">
        <f>CONCATENATE(SUM($E$6:$E314)," / ",SUM($E$6:$E$370))</f>
        <v>1280 / 1280</v>
      </c>
      <c r="I314" s="209">
        <f>SUM($E$6:$E314)/(1+B314-B$6)</f>
        <v>4.1423948220064721</v>
      </c>
      <c r="J314" s="24"/>
      <c r="K314" s="24"/>
      <c r="L314" s="24"/>
    </row>
    <row r="315" spans="2:12" ht="13" thickBot="1">
      <c r="B315" s="123">
        <f t="shared" si="14"/>
        <v>42314</v>
      </c>
      <c r="C315" s="124">
        <f t="shared" si="12"/>
        <v>45</v>
      </c>
      <c r="D315" s="124">
        <f t="shared" si="13"/>
        <v>11</v>
      </c>
      <c r="E315" s="28">
        <v>0</v>
      </c>
      <c r="F315" s="28" t="str">
        <f>CONCATENATE(SUMIF($C$6:$C315,C315,$E$6:$E$370)," / ",SUMIF($C$6:$C$370,C315,$E$6:$E$370))</f>
        <v>0 / 0</v>
      </c>
      <c r="G315" s="28" t="str">
        <f>CONCATENATE(SUMIF($D$6:$D315,D315,$E$6:$E$370)," / ",SUMIF($D$6:$D$370,D315,$E$6:$E$370))</f>
        <v>0 / 0</v>
      </c>
      <c r="H315" s="28" t="str">
        <f>CONCATENATE(SUM($E$6:$E315)," / ",SUM($E$6:$E$370))</f>
        <v>1280 / 1280</v>
      </c>
      <c r="I315" s="209">
        <f>SUM($E$6:$E315)/(1+B315-B$6)</f>
        <v>4.129032258064516</v>
      </c>
      <c r="J315" s="24"/>
      <c r="K315" s="24"/>
      <c r="L315" s="24"/>
    </row>
    <row r="316" spans="2:12" ht="13" thickBot="1">
      <c r="B316" s="123">
        <f t="shared" si="14"/>
        <v>42315</v>
      </c>
      <c r="C316" s="124">
        <f t="shared" si="12"/>
        <v>45</v>
      </c>
      <c r="D316" s="124">
        <f t="shared" si="13"/>
        <v>11</v>
      </c>
      <c r="E316" s="28">
        <v>0</v>
      </c>
      <c r="F316" s="28" t="str">
        <f>CONCATENATE(SUMIF($C$6:$C316,C316,$E$6:$E$370)," / ",SUMIF($C$6:$C$370,C316,$E$6:$E$370))</f>
        <v>0 / 0</v>
      </c>
      <c r="G316" s="28" t="str">
        <f>CONCATENATE(SUMIF($D$6:$D316,D316,$E$6:$E$370)," / ",SUMIF($D$6:$D$370,D316,$E$6:$E$370))</f>
        <v>0 / 0</v>
      </c>
      <c r="H316" s="28" t="str">
        <f>CONCATENATE(SUM($E$6:$E316)," / ",SUM($E$6:$E$370))</f>
        <v>1280 / 1280</v>
      </c>
      <c r="I316" s="209">
        <f>SUM($E$6:$E316)/(1+B316-B$6)</f>
        <v>4.115755627009646</v>
      </c>
      <c r="J316" s="24"/>
      <c r="K316" s="24"/>
      <c r="L316" s="24"/>
    </row>
    <row r="317" spans="2:12" ht="13" thickBot="1">
      <c r="B317" s="123">
        <f t="shared" si="14"/>
        <v>42316</v>
      </c>
      <c r="C317" s="124">
        <f t="shared" si="12"/>
        <v>46</v>
      </c>
      <c r="D317" s="124">
        <f t="shared" si="13"/>
        <v>11</v>
      </c>
      <c r="E317" s="28">
        <v>0</v>
      </c>
      <c r="F317" s="28" t="str">
        <f>CONCATENATE(SUMIF($C$6:$C317,C317,$E$6:$E$370)," / ",SUMIF($C$6:$C$370,C317,$E$6:$E$370))</f>
        <v>0 / 0</v>
      </c>
      <c r="G317" s="28" t="str">
        <f>CONCATENATE(SUMIF($D$6:$D317,D317,$E$6:$E$370)," / ",SUMIF($D$6:$D$370,D317,$E$6:$E$370))</f>
        <v>0 / 0</v>
      </c>
      <c r="H317" s="28" t="str">
        <f>CONCATENATE(SUM($E$6:$E317)," / ",SUM($E$6:$E$370))</f>
        <v>1280 / 1280</v>
      </c>
      <c r="I317" s="209">
        <f>SUM($E$6:$E317)/(1+B317-B$6)</f>
        <v>4.1025641025641022</v>
      </c>
      <c r="J317" s="24"/>
      <c r="K317" s="24"/>
      <c r="L317" s="24"/>
    </row>
    <row r="318" spans="2:12" ht="13" thickBot="1">
      <c r="B318" s="123">
        <f t="shared" si="14"/>
        <v>42317</v>
      </c>
      <c r="C318" s="124">
        <f t="shared" si="12"/>
        <v>46</v>
      </c>
      <c r="D318" s="124">
        <f t="shared" si="13"/>
        <v>11</v>
      </c>
      <c r="E318" s="28">
        <v>0</v>
      </c>
      <c r="F318" s="28" t="str">
        <f>CONCATENATE(SUMIF($C$6:$C318,C318,$E$6:$E$370)," / ",SUMIF($C$6:$C$370,C318,$E$6:$E$370))</f>
        <v>0 / 0</v>
      </c>
      <c r="G318" s="28" t="str">
        <f>CONCATENATE(SUMIF($D$6:$D318,D318,$E$6:$E$370)," / ",SUMIF($D$6:$D$370,D318,$E$6:$E$370))</f>
        <v>0 / 0</v>
      </c>
      <c r="H318" s="28" t="str">
        <f>CONCATENATE(SUM($E$6:$E318)," / ",SUM($E$6:$E$370))</f>
        <v>1280 / 1280</v>
      </c>
      <c r="I318" s="209">
        <f>SUM($E$6:$E318)/(1+B318-B$6)</f>
        <v>4.0894568690095845</v>
      </c>
      <c r="J318" s="24"/>
      <c r="K318" s="24"/>
      <c r="L318" s="24"/>
    </row>
    <row r="319" spans="2:12" ht="13" thickBot="1">
      <c r="B319" s="123">
        <f t="shared" si="14"/>
        <v>42318</v>
      </c>
      <c r="C319" s="124">
        <f t="shared" si="12"/>
        <v>46</v>
      </c>
      <c r="D319" s="124">
        <f t="shared" si="13"/>
        <v>11</v>
      </c>
      <c r="E319" s="28">
        <v>0</v>
      </c>
      <c r="F319" s="28" t="str">
        <f>CONCATENATE(SUMIF($C$6:$C319,C319,$E$6:$E$370)," / ",SUMIF($C$6:$C$370,C319,$E$6:$E$370))</f>
        <v>0 / 0</v>
      </c>
      <c r="G319" s="28" t="str">
        <f>CONCATENATE(SUMIF($D$6:$D319,D319,$E$6:$E$370)," / ",SUMIF($D$6:$D$370,D319,$E$6:$E$370))</f>
        <v>0 / 0</v>
      </c>
      <c r="H319" s="28" t="str">
        <f>CONCATENATE(SUM($E$6:$E319)," / ",SUM($E$6:$E$370))</f>
        <v>1280 / 1280</v>
      </c>
      <c r="I319" s="209">
        <f>SUM($E$6:$E319)/(1+B319-B$6)</f>
        <v>4.0764331210191083</v>
      </c>
      <c r="J319" s="24"/>
      <c r="K319" s="24"/>
      <c r="L319" s="24"/>
    </row>
    <row r="320" spans="2:12" ht="13" thickBot="1">
      <c r="B320" s="123">
        <f t="shared" si="14"/>
        <v>42319</v>
      </c>
      <c r="C320" s="124">
        <f t="shared" si="12"/>
        <v>46</v>
      </c>
      <c r="D320" s="124">
        <f t="shared" si="13"/>
        <v>11</v>
      </c>
      <c r="E320" s="28">
        <v>0</v>
      </c>
      <c r="F320" s="28" t="str">
        <f>CONCATENATE(SUMIF($C$6:$C320,C320,$E$6:$E$370)," / ",SUMIF($C$6:$C$370,C320,$E$6:$E$370))</f>
        <v>0 / 0</v>
      </c>
      <c r="G320" s="28" t="str">
        <f>CONCATENATE(SUMIF($D$6:$D320,D320,$E$6:$E$370)," / ",SUMIF($D$6:$D$370,D320,$E$6:$E$370))</f>
        <v>0 / 0</v>
      </c>
      <c r="H320" s="28" t="str">
        <f>CONCATENATE(SUM($E$6:$E320)," / ",SUM($E$6:$E$370))</f>
        <v>1280 / 1280</v>
      </c>
      <c r="I320" s="209">
        <f>SUM($E$6:$E320)/(1+B320-B$6)</f>
        <v>4.0634920634920633</v>
      </c>
      <c r="J320" s="24"/>
      <c r="K320" s="24"/>
      <c r="L320" s="24"/>
    </row>
    <row r="321" spans="2:12" ht="13" thickBot="1">
      <c r="B321" s="123">
        <f t="shared" si="14"/>
        <v>42320</v>
      </c>
      <c r="C321" s="124">
        <f t="shared" si="12"/>
        <v>46</v>
      </c>
      <c r="D321" s="124">
        <f t="shared" si="13"/>
        <v>11</v>
      </c>
      <c r="E321" s="28">
        <v>0</v>
      </c>
      <c r="F321" s="28" t="str">
        <f>CONCATENATE(SUMIF($C$6:$C321,C321,$E$6:$E$370)," / ",SUMIF($C$6:$C$370,C321,$E$6:$E$370))</f>
        <v>0 / 0</v>
      </c>
      <c r="G321" s="28" t="str">
        <f>CONCATENATE(SUMIF($D$6:$D321,D321,$E$6:$E$370)," / ",SUMIF($D$6:$D$370,D321,$E$6:$E$370))</f>
        <v>0 / 0</v>
      </c>
      <c r="H321" s="28" t="str">
        <f>CONCATENATE(SUM($E$6:$E321)," / ",SUM($E$6:$E$370))</f>
        <v>1280 / 1280</v>
      </c>
      <c r="I321" s="209">
        <f>SUM($E$6:$E321)/(1+B321-B$6)</f>
        <v>4.0506329113924053</v>
      </c>
      <c r="J321" s="24"/>
      <c r="K321" s="24"/>
      <c r="L321" s="24"/>
    </row>
    <row r="322" spans="2:12" ht="13" thickBot="1">
      <c r="B322" s="123">
        <f t="shared" si="14"/>
        <v>42321</v>
      </c>
      <c r="C322" s="124">
        <f t="shared" si="12"/>
        <v>46</v>
      </c>
      <c r="D322" s="124">
        <f t="shared" si="13"/>
        <v>11</v>
      </c>
      <c r="E322" s="28">
        <v>0</v>
      </c>
      <c r="F322" s="28" t="str">
        <f>CONCATENATE(SUMIF($C$6:$C322,C322,$E$6:$E$370)," / ",SUMIF($C$6:$C$370,C322,$E$6:$E$370))</f>
        <v>0 / 0</v>
      </c>
      <c r="G322" s="28" t="str">
        <f>CONCATENATE(SUMIF($D$6:$D322,D322,$E$6:$E$370)," / ",SUMIF($D$6:$D$370,D322,$E$6:$E$370))</f>
        <v>0 / 0</v>
      </c>
      <c r="H322" s="28" t="str">
        <f>CONCATENATE(SUM($E$6:$E322)," / ",SUM($E$6:$E$370))</f>
        <v>1280 / 1280</v>
      </c>
      <c r="I322" s="209">
        <f>SUM($E$6:$E322)/(1+B322-B$6)</f>
        <v>4.0378548895899051</v>
      </c>
      <c r="J322" s="24"/>
      <c r="K322" s="24"/>
      <c r="L322" s="24"/>
    </row>
    <row r="323" spans="2:12" ht="13" thickBot="1">
      <c r="B323" s="123">
        <f t="shared" si="14"/>
        <v>42322</v>
      </c>
      <c r="C323" s="124">
        <f t="shared" si="12"/>
        <v>46</v>
      </c>
      <c r="D323" s="124">
        <f t="shared" si="13"/>
        <v>11</v>
      </c>
      <c r="E323" s="28">
        <v>0</v>
      </c>
      <c r="F323" s="28" t="str">
        <f>CONCATENATE(SUMIF($C$6:$C323,C323,$E$6:$E$370)," / ",SUMIF($C$6:$C$370,C323,$E$6:$E$370))</f>
        <v>0 / 0</v>
      </c>
      <c r="G323" s="28" t="str">
        <f>CONCATENATE(SUMIF($D$6:$D323,D323,$E$6:$E$370)," / ",SUMIF($D$6:$D$370,D323,$E$6:$E$370))</f>
        <v>0 / 0</v>
      </c>
      <c r="H323" s="28" t="str">
        <f>CONCATENATE(SUM($E$6:$E323)," / ",SUM($E$6:$E$370))</f>
        <v>1280 / 1280</v>
      </c>
      <c r="I323" s="209">
        <f>SUM($E$6:$E323)/(1+B323-B$6)</f>
        <v>4.0251572327044025</v>
      </c>
      <c r="J323" s="24"/>
      <c r="K323" s="24"/>
      <c r="L323" s="24"/>
    </row>
    <row r="324" spans="2:12" ht="13" thickBot="1">
      <c r="B324" s="123">
        <f t="shared" si="14"/>
        <v>42323</v>
      </c>
      <c r="C324" s="124">
        <f t="shared" si="12"/>
        <v>47</v>
      </c>
      <c r="D324" s="124">
        <f t="shared" si="13"/>
        <v>11</v>
      </c>
      <c r="E324" s="28">
        <v>0</v>
      </c>
      <c r="F324" s="28" t="str">
        <f>CONCATENATE(SUMIF($C$6:$C324,C324,$E$6:$E$370)," / ",SUMIF($C$6:$C$370,C324,$E$6:$E$370))</f>
        <v>0 / 0</v>
      </c>
      <c r="G324" s="28" t="str">
        <f>CONCATENATE(SUMIF($D$6:$D324,D324,$E$6:$E$370)," / ",SUMIF($D$6:$D$370,D324,$E$6:$E$370))</f>
        <v>0 / 0</v>
      </c>
      <c r="H324" s="28" t="str">
        <f>CONCATENATE(SUM($E$6:$E324)," / ",SUM($E$6:$E$370))</f>
        <v>1280 / 1280</v>
      </c>
      <c r="I324" s="209">
        <f>SUM($E$6:$E324)/(1+B324-B$6)</f>
        <v>4.0125391849529777</v>
      </c>
      <c r="J324" s="24"/>
      <c r="K324" s="24"/>
      <c r="L324" s="24"/>
    </row>
    <row r="325" spans="2:12" ht="13" thickBot="1">
      <c r="B325" s="123">
        <f t="shared" si="14"/>
        <v>42324</v>
      </c>
      <c r="C325" s="124">
        <f t="shared" si="12"/>
        <v>47</v>
      </c>
      <c r="D325" s="124">
        <f t="shared" si="13"/>
        <v>11</v>
      </c>
      <c r="E325" s="28">
        <v>0</v>
      </c>
      <c r="F325" s="28" t="str">
        <f>CONCATENATE(SUMIF($C$6:$C325,C325,$E$6:$E$370)," / ",SUMIF($C$6:$C$370,C325,$E$6:$E$370))</f>
        <v>0 / 0</v>
      </c>
      <c r="G325" s="28" t="str">
        <f>CONCATENATE(SUMIF($D$6:$D325,D325,$E$6:$E$370)," / ",SUMIF($D$6:$D$370,D325,$E$6:$E$370))</f>
        <v>0 / 0</v>
      </c>
      <c r="H325" s="28" t="str">
        <f>CONCATENATE(SUM($E$6:$E325)," / ",SUM($E$6:$E$370))</f>
        <v>1280 / 1280</v>
      </c>
      <c r="I325" s="209">
        <f>SUM($E$6:$E325)/(1+B325-B$6)</f>
        <v>4</v>
      </c>
      <c r="J325" s="24"/>
      <c r="K325" s="24"/>
      <c r="L325" s="24"/>
    </row>
    <row r="326" spans="2:12" ht="13" thickBot="1">
      <c r="B326" s="123">
        <f t="shared" si="14"/>
        <v>42325</v>
      </c>
      <c r="C326" s="124">
        <f t="shared" si="12"/>
        <v>47</v>
      </c>
      <c r="D326" s="124">
        <f t="shared" si="13"/>
        <v>11</v>
      </c>
      <c r="E326" s="28">
        <v>0</v>
      </c>
      <c r="F326" s="28" t="str">
        <f>CONCATENATE(SUMIF($C$6:$C326,C326,$E$6:$E$370)," / ",SUMIF($C$6:$C$370,C326,$E$6:$E$370))</f>
        <v>0 / 0</v>
      </c>
      <c r="G326" s="28" t="str">
        <f>CONCATENATE(SUMIF($D$6:$D326,D326,$E$6:$E$370)," / ",SUMIF($D$6:$D$370,D326,$E$6:$E$370))</f>
        <v>0 / 0</v>
      </c>
      <c r="H326" s="28" t="str">
        <f>CONCATENATE(SUM($E$6:$E326)," / ",SUM($E$6:$E$370))</f>
        <v>1280 / 1280</v>
      </c>
      <c r="I326" s="209">
        <f>SUM($E$6:$E326)/(1+B326-B$6)</f>
        <v>3.9875389408099688</v>
      </c>
      <c r="J326" s="24"/>
      <c r="K326" s="24"/>
      <c r="L326" s="24"/>
    </row>
    <row r="327" spans="2:12" ht="13" thickBot="1">
      <c r="B327" s="123">
        <f t="shared" si="14"/>
        <v>42326</v>
      </c>
      <c r="C327" s="124">
        <f t="shared" ref="C327:C370" si="15">WEEKNUM($B327)</f>
        <v>47</v>
      </c>
      <c r="D327" s="124">
        <f t="shared" ref="D327:D369" si="16">MONTH(B327)</f>
        <v>11</v>
      </c>
      <c r="E327" s="28">
        <v>0</v>
      </c>
      <c r="F327" s="28" t="str">
        <f>CONCATENATE(SUMIF($C$6:$C327,C327,$E$6:$E$370)," / ",SUMIF($C$6:$C$370,C327,$E$6:$E$370))</f>
        <v>0 / 0</v>
      </c>
      <c r="G327" s="28" t="str">
        <f>CONCATENATE(SUMIF($D$6:$D327,D327,$E$6:$E$370)," / ",SUMIF($D$6:$D$370,D327,$E$6:$E$370))</f>
        <v>0 / 0</v>
      </c>
      <c r="H327" s="28" t="str">
        <f>CONCATENATE(SUM($E$6:$E327)," / ",SUM($E$6:$E$370))</f>
        <v>1280 / 1280</v>
      </c>
      <c r="I327" s="209">
        <f>SUM($E$6:$E327)/(1+B327-B$6)</f>
        <v>3.9751552795031055</v>
      </c>
      <c r="J327" s="24"/>
      <c r="K327" s="24"/>
      <c r="L327" s="24"/>
    </row>
    <row r="328" spans="2:12" ht="13" thickBot="1">
      <c r="B328" s="123">
        <f t="shared" ref="B328:B370" si="17">B327+1</f>
        <v>42327</v>
      </c>
      <c r="C328" s="124">
        <f t="shared" si="15"/>
        <v>47</v>
      </c>
      <c r="D328" s="124">
        <f t="shared" si="16"/>
        <v>11</v>
      </c>
      <c r="E328" s="28">
        <v>0</v>
      </c>
      <c r="F328" s="28" t="str">
        <f>CONCATENATE(SUMIF($C$6:$C328,C328,$E$6:$E$370)," / ",SUMIF($C$6:$C$370,C328,$E$6:$E$370))</f>
        <v>0 / 0</v>
      </c>
      <c r="G328" s="28" t="str">
        <f>CONCATENATE(SUMIF($D$6:$D328,D328,$E$6:$E$370)," / ",SUMIF($D$6:$D$370,D328,$E$6:$E$370))</f>
        <v>0 / 0</v>
      </c>
      <c r="H328" s="28" t="str">
        <f>CONCATENATE(SUM($E$6:$E328)," / ",SUM($E$6:$E$370))</f>
        <v>1280 / 1280</v>
      </c>
      <c r="I328" s="209">
        <f>SUM($E$6:$E328)/(1+B328-B$6)</f>
        <v>3.9628482972136223</v>
      </c>
      <c r="J328" s="24"/>
      <c r="K328" s="24"/>
      <c r="L328" s="24"/>
    </row>
    <row r="329" spans="2:12" ht="13" thickBot="1">
      <c r="B329" s="123">
        <f t="shared" si="17"/>
        <v>42328</v>
      </c>
      <c r="C329" s="124">
        <f t="shared" si="15"/>
        <v>47</v>
      </c>
      <c r="D329" s="124">
        <f t="shared" si="16"/>
        <v>11</v>
      </c>
      <c r="E329" s="28">
        <v>0</v>
      </c>
      <c r="F329" s="28" t="str">
        <f>CONCATENATE(SUMIF($C$6:$C329,C329,$E$6:$E$370)," / ",SUMIF($C$6:$C$370,C329,$E$6:$E$370))</f>
        <v>0 / 0</v>
      </c>
      <c r="G329" s="28" t="str">
        <f>CONCATENATE(SUMIF($D$6:$D329,D329,$E$6:$E$370)," / ",SUMIF($D$6:$D$370,D329,$E$6:$E$370))</f>
        <v>0 / 0</v>
      </c>
      <c r="H329" s="28" t="str">
        <f>CONCATENATE(SUM($E$6:$E329)," / ",SUM($E$6:$E$370))</f>
        <v>1280 / 1280</v>
      </c>
      <c r="I329" s="209">
        <f>SUM($E$6:$E329)/(1+B329-B$6)</f>
        <v>3.9506172839506171</v>
      </c>
      <c r="J329" s="24"/>
      <c r="K329" s="24"/>
      <c r="L329" s="24"/>
    </row>
    <row r="330" spans="2:12" ht="13" thickBot="1">
      <c r="B330" s="123">
        <f t="shared" si="17"/>
        <v>42329</v>
      </c>
      <c r="C330" s="124">
        <f t="shared" si="15"/>
        <v>47</v>
      </c>
      <c r="D330" s="124">
        <f t="shared" si="16"/>
        <v>11</v>
      </c>
      <c r="E330" s="28">
        <v>0</v>
      </c>
      <c r="F330" s="28" t="str">
        <f>CONCATENATE(SUMIF($C$6:$C330,C330,$E$6:$E$370)," / ",SUMIF($C$6:$C$370,C330,$E$6:$E$370))</f>
        <v>0 / 0</v>
      </c>
      <c r="G330" s="28" t="str">
        <f>CONCATENATE(SUMIF($D$6:$D330,D330,$E$6:$E$370)," / ",SUMIF($D$6:$D$370,D330,$E$6:$E$370))</f>
        <v>0 / 0</v>
      </c>
      <c r="H330" s="28" t="str">
        <f>CONCATENATE(SUM($E$6:$E330)," / ",SUM($E$6:$E$370))</f>
        <v>1280 / 1280</v>
      </c>
      <c r="I330" s="209">
        <f>SUM($E$6:$E330)/(1+B330-B$6)</f>
        <v>3.9384615384615387</v>
      </c>
      <c r="J330" s="24"/>
      <c r="K330" s="24"/>
      <c r="L330" s="24"/>
    </row>
    <row r="331" spans="2:12" ht="13" thickBot="1">
      <c r="B331" s="123">
        <f t="shared" si="17"/>
        <v>42330</v>
      </c>
      <c r="C331" s="124">
        <f t="shared" si="15"/>
        <v>48</v>
      </c>
      <c r="D331" s="124">
        <f t="shared" si="16"/>
        <v>11</v>
      </c>
      <c r="E331" s="28">
        <v>0</v>
      </c>
      <c r="F331" s="28" t="str">
        <f>CONCATENATE(SUMIF($C$6:$C331,C331,$E$6:$E$370)," / ",SUMIF($C$6:$C$370,C331,$E$6:$E$370))</f>
        <v>0 / 0</v>
      </c>
      <c r="G331" s="28" t="str">
        <f>CONCATENATE(SUMIF($D$6:$D331,D331,$E$6:$E$370)," / ",SUMIF($D$6:$D$370,D331,$E$6:$E$370))</f>
        <v>0 / 0</v>
      </c>
      <c r="H331" s="28" t="str">
        <f>CONCATENATE(SUM($E$6:$E331)," / ",SUM($E$6:$E$370))</f>
        <v>1280 / 1280</v>
      </c>
      <c r="I331" s="209">
        <f>SUM($E$6:$E331)/(1+B331-B$6)</f>
        <v>3.9263803680981595</v>
      </c>
      <c r="J331" s="24"/>
      <c r="K331" s="24"/>
      <c r="L331" s="24"/>
    </row>
    <row r="332" spans="2:12" ht="13" thickBot="1">
      <c r="B332" s="123">
        <f t="shared" si="17"/>
        <v>42331</v>
      </c>
      <c r="C332" s="124">
        <f t="shared" si="15"/>
        <v>48</v>
      </c>
      <c r="D332" s="124">
        <f t="shared" si="16"/>
        <v>11</v>
      </c>
      <c r="E332" s="28">
        <v>0</v>
      </c>
      <c r="F332" s="28" t="str">
        <f>CONCATENATE(SUMIF($C$6:$C332,C332,$E$6:$E$370)," / ",SUMIF($C$6:$C$370,C332,$E$6:$E$370))</f>
        <v>0 / 0</v>
      </c>
      <c r="G332" s="28" t="str">
        <f>CONCATENATE(SUMIF($D$6:$D332,D332,$E$6:$E$370)," / ",SUMIF($D$6:$D$370,D332,$E$6:$E$370))</f>
        <v>0 / 0</v>
      </c>
      <c r="H332" s="28" t="str">
        <f>CONCATENATE(SUM($E$6:$E332)," / ",SUM($E$6:$E$370))</f>
        <v>1280 / 1280</v>
      </c>
      <c r="I332" s="209">
        <f>SUM($E$6:$E332)/(1+B332-B$6)</f>
        <v>3.9143730886850152</v>
      </c>
      <c r="J332" s="24"/>
      <c r="K332" s="24"/>
      <c r="L332" s="24"/>
    </row>
    <row r="333" spans="2:12" ht="13" thickBot="1">
      <c r="B333" s="123">
        <f t="shared" si="17"/>
        <v>42332</v>
      </c>
      <c r="C333" s="124">
        <f t="shared" si="15"/>
        <v>48</v>
      </c>
      <c r="D333" s="124">
        <f t="shared" si="16"/>
        <v>11</v>
      </c>
      <c r="E333" s="28">
        <v>0</v>
      </c>
      <c r="F333" s="28" t="str">
        <f>CONCATENATE(SUMIF($C$6:$C333,C333,$E$6:$E$370)," / ",SUMIF($C$6:$C$370,C333,$E$6:$E$370))</f>
        <v>0 / 0</v>
      </c>
      <c r="G333" s="28" t="str">
        <f>CONCATENATE(SUMIF($D$6:$D333,D333,$E$6:$E$370)," / ",SUMIF($D$6:$D$370,D333,$E$6:$E$370))</f>
        <v>0 / 0</v>
      </c>
      <c r="H333" s="28" t="str">
        <f>CONCATENATE(SUM($E$6:$E333)," / ",SUM($E$6:$E$370))</f>
        <v>1280 / 1280</v>
      </c>
      <c r="I333" s="209">
        <f>SUM($E$6:$E333)/(1+B333-B$6)</f>
        <v>3.9024390243902438</v>
      </c>
      <c r="J333" s="24"/>
      <c r="K333" s="24"/>
      <c r="L333" s="24"/>
    </row>
    <row r="334" spans="2:12" ht="13" thickBot="1">
      <c r="B334" s="123">
        <f t="shared" si="17"/>
        <v>42333</v>
      </c>
      <c r="C334" s="124">
        <f t="shared" si="15"/>
        <v>48</v>
      </c>
      <c r="D334" s="124">
        <f t="shared" si="16"/>
        <v>11</v>
      </c>
      <c r="E334" s="28">
        <v>0</v>
      </c>
      <c r="F334" s="28" t="str">
        <f>CONCATENATE(SUMIF($C$6:$C334,C334,$E$6:$E$370)," / ",SUMIF($C$6:$C$370,C334,$E$6:$E$370))</f>
        <v>0 / 0</v>
      </c>
      <c r="G334" s="28" t="str">
        <f>CONCATENATE(SUMIF($D$6:$D334,D334,$E$6:$E$370)," / ",SUMIF($D$6:$D$370,D334,$E$6:$E$370))</f>
        <v>0 / 0</v>
      </c>
      <c r="H334" s="28" t="str">
        <f>CONCATENATE(SUM($E$6:$E334)," / ",SUM($E$6:$E$370))</f>
        <v>1280 / 1280</v>
      </c>
      <c r="I334" s="209">
        <f>SUM($E$6:$E334)/(1+B334-B$6)</f>
        <v>3.8905775075987843</v>
      </c>
      <c r="J334" s="24"/>
      <c r="K334" s="24"/>
      <c r="L334" s="24"/>
    </row>
    <row r="335" spans="2:12" ht="13" thickBot="1">
      <c r="B335" s="123">
        <f t="shared" si="17"/>
        <v>42334</v>
      </c>
      <c r="C335" s="124">
        <f t="shared" si="15"/>
        <v>48</v>
      </c>
      <c r="D335" s="124">
        <f t="shared" si="16"/>
        <v>11</v>
      </c>
      <c r="E335" s="28">
        <v>0</v>
      </c>
      <c r="F335" s="28" t="str">
        <f>CONCATENATE(SUMIF($C$6:$C335,C335,$E$6:$E$370)," / ",SUMIF($C$6:$C$370,C335,$E$6:$E$370))</f>
        <v>0 / 0</v>
      </c>
      <c r="G335" s="28" t="str">
        <f>CONCATENATE(SUMIF($D$6:$D335,D335,$E$6:$E$370)," / ",SUMIF($D$6:$D$370,D335,$E$6:$E$370))</f>
        <v>0 / 0</v>
      </c>
      <c r="H335" s="28" t="str">
        <f>CONCATENATE(SUM($E$6:$E335)," / ",SUM($E$6:$E$370))</f>
        <v>1280 / 1280</v>
      </c>
      <c r="I335" s="209">
        <f>SUM($E$6:$E335)/(1+B335-B$6)</f>
        <v>3.8787878787878789</v>
      </c>
      <c r="J335" s="24"/>
      <c r="K335" s="24"/>
      <c r="L335" s="24"/>
    </row>
    <row r="336" spans="2:12" ht="13" thickBot="1">
      <c r="B336" s="123">
        <f t="shared" si="17"/>
        <v>42335</v>
      </c>
      <c r="C336" s="124">
        <f t="shared" si="15"/>
        <v>48</v>
      </c>
      <c r="D336" s="124">
        <f t="shared" si="16"/>
        <v>11</v>
      </c>
      <c r="E336" s="28">
        <v>0</v>
      </c>
      <c r="F336" s="28" t="str">
        <f>CONCATENATE(SUMIF($C$6:$C336,C336,$E$6:$E$370)," / ",SUMIF($C$6:$C$370,C336,$E$6:$E$370))</f>
        <v>0 / 0</v>
      </c>
      <c r="G336" s="28" t="str">
        <f>CONCATENATE(SUMIF($D$6:$D336,D336,$E$6:$E$370)," / ",SUMIF($D$6:$D$370,D336,$E$6:$E$370))</f>
        <v>0 / 0</v>
      </c>
      <c r="H336" s="28" t="str">
        <f>CONCATENATE(SUM($E$6:$E336)," / ",SUM($E$6:$E$370))</f>
        <v>1280 / 1280</v>
      </c>
      <c r="I336" s="209">
        <f>SUM($E$6:$E336)/(1+B336-B$6)</f>
        <v>3.8670694864048341</v>
      </c>
      <c r="J336" s="24"/>
      <c r="K336" s="24"/>
      <c r="L336" s="24"/>
    </row>
    <row r="337" spans="2:12" ht="13" thickBot="1">
      <c r="B337" s="123">
        <f t="shared" si="17"/>
        <v>42336</v>
      </c>
      <c r="C337" s="124">
        <f t="shared" si="15"/>
        <v>48</v>
      </c>
      <c r="D337" s="124">
        <f t="shared" si="16"/>
        <v>11</v>
      </c>
      <c r="E337" s="28">
        <v>0</v>
      </c>
      <c r="F337" s="28" t="str">
        <f>CONCATENATE(SUMIF($C$6:$C337,C337,$E$6:$E$370)," / ",SUMIF($C$6:$C$370,C337,$E$6:$E$370))</f>
        <v>0 / 0</v>
      </c>
      <c r="G337" s="28" t="str">
        <f>CONCATENATE(SUMIF($D$6:$D337,D337,$E$6:$E$370)," / ",SUMIF($D$6:$D$370,D337,$E$6:$E$370))</f>
        <v>0 / 0</v>
      </c>
      <c r="H337" s="28" t="str">
        <f>CONCATENATE(SUM($E$6:$E337)," / ",SUM($E$6:$E$370))</f>
        <v>1280 / 1280</v>
      </c>
      <c r="I337" s="209">
        <f>SUM($E$6:$E337)/(1+B337-B$6)</f>
        <v>3.8554216867469879</v>
      </c>
      <c r="J337" s="24"/>
      <c r="K337" s="24"/>
      <c r="L337" s="24"/>
    </row>
    <row r="338" spans="2:12" ht="13" thickBot="1">
      <c r="B338" s="123">
        <f t="shared" si="17"/>
        <v>42337</v>
      </c>
      <c r="C338" s="124">
        <f t="shared" si="15"/>
        <v>49</v>
      </c>
      <c r="D338" s="124">
        <f t="shared" si="16"/>
        <v>11</v>
      </c>
      <c r="E338" s="28">
        <v>0</v>
      </c>
      <c r="F338" s="28" t="str">
        <f>CONCATENATE(SUMIF($C$6:$C338,C338,$E$6:$E$370)," / ",SUMIF($C$6:$C$370,C338,$E$6:$E$370))</f>
        <v>0 / 0</v>
      </c>
      <c r="G338" s="28" t="str">
        <f>CONCATENATE(SUMIF($D$6:$D338,D338,$E$6:$E$370)," / ",SUMIF($D$6:$D$370,D338,$E$6:$E$370))</f>
        <v>0 / 0</v>
      </c>
      <c r="H338" s="28" t="str">
        <f>CONCATENATE(SUM($E$6:$E338)," / ",SUM($E$6:$E$370))</f>
        <v>1280 / 1280</v>
      </c>
      <c r="I338" s="209">
        <f>SUM($E$6:$E338)/(1+B338-B$6)</f>
        <v>3.8438438438438438</v>
      </c>
      <c r="J338" s="24"/>
      <c r="K338" s="24"/>
      <c r="L338" s="24"/>
    </row>
    <row r="339" spans="2:12" ht="13" thickBot="1">
      <c r="B339" s="123">
        <f t="shared" si="17"/>
        <v>42338</v>
      </c>
      <c r="C339" s="124">
        <f t="shared" si="15"/>
        <v>49</v>
      </c>
      <c r="D339" s="124">
        <f t="shared" si="16"/>
        <v>11</v>
      </c>
      <c r="E339" s="28">
        <v>0</v>
      </c>
      <c r="F339" s="28" t="str">
        <f>CONCATENATE(SUMIF($C$6:$C339,C339,$E$6:$E$370)," / ",SUMIF($C$6:$C$370,C339,$E$6:$E$370))</f>
        <v>0 / 0</v>
      </c>
      <c r="G339" s="28" t="str">
        <f>CONCATENATE(SUMIF($D$6:$D339,D339,$E$6:$E$370)," / ",SUMIF($D$6:$D$370,D339,$E$6:$E$370))</f>
        <v>0 / 0</v>
      </c>
      <c r="H339" s="28" t="str">
        <f>CONCATENATE(SUM($E$6:$E339)," / ",SUM($E$6:$E$370))</f>
        <v>1280 / 1280</v>
      </c>
      <c r="I339" s="209">
        <f>SUM($E$6:$E339)/(1+B339-B$6)</f>
        <v>3.8323353293413174</v>
      </c>
      <c r="J339" s="24"/>
      <c r="K339" s="24"/>
      <c r="L339" s="24"/>
    </row>
    <row r="340" spans="2:12" ht="13" thickBot="1">
      <c r="B340" s="123">
        <f t="shared" si="17"/>
        <v>42339</v>
      </c>
      <c r="C340" s="124">
        <f t="shared" si="15"/>
        <v>49</v>
      </c>
      <c r="D340" s="124">
        <f t="shared" si="16"/>
        <v>12</v>
      </c>
      <c r="E340" s="28">
        <v>0</v>
      </c>
      <c r="F340" s="28" t="str">
        <f>CONCATENATE(SUMIF($C$6:$C340,C340,$E$6:$E$370)," / ",SUMIF($C$6:$C$370,C340,$E$6:$E$370))</f>
        <v>0 / 0</v>
      </c>
      <c r="G340" s="28" t="str">
        <f>CONCATENATE(SUMIF($D$6:$D340,D340,$E$6:$E$370)," / ",SUMIF($D$6:$D$370,D340,$E$6:$E$370))</f>
        <v>0 / 0</v>
      </c>
      <c r="H340" s="28" t="str">
        <f>CONCATENATE(SUM($E$6:$E340)," / ",SUM($E$6:$E$370))</f>
        <v>1280 / 1280</v>
      </c>
      <c r="I340" s="209">
        <f>SUM($E$6:$E340)/(1+B340-B$6)</f>
        <v>3.8208955223880596</v>
      </c>
      <c r="J340" s="24"/>
      <c r="K340" s="24"/>
      <c r="L340" s="24"/>
    </row>
    <row r="341" spans="2:12" ht="13" thickBot="1">
      <c r="B341" s="123">
        <f t="shared" si="17"/>
        <v>42340</v>
      </c>
      <c r="C341" s="124">
        <f t="shared" si="15"/>
        <v>49</v>
      </c>
      <c r="D341" s="124">
        <f t="shared" si="16"/>
        <v>12</v>
      </c>
      <c r="E341" s="28">
        <v>0</v>
      </c>
      <c r="F341" s="28" t="str">
        <f>CONCATENATE(SUMIF($C$6:$C341,C341,$E$6:$E$370)," / ",SUMIF($C$6:$C$370,C341,$E$6:$E$370))</f>
        <v>0 / 0</v>
      </c>
      <c r="G341" s="28" t="str">
        <f>CONCATENATE(SUMIF($D$6:$D341,D341,$E$6:$E$370)," / ",SUMIF($D$6:$D$370,D341,$E$6:$E$370))</f>
        <v>0 / 0</v>
      </c>
      <c r="H341" s="28" t="str">
        <f>CONCATENATE(SUM($E$6:$E341)," / ",SUM($E$6:$E$370))</f>
        <v>1280 / 1280</v>
      </c>
      <c r="I341" s="209">
        <f>SUM($E$6:$E341)/(1+B341-B$6)</f>
        <v>3.8095238095238093</v>
      </c>
      <c r="J341" s="24"/>
      <c r="K341" s="24"/>
      <c r="L341" s="24"/>
    </row>
    <row r="342" spans="2:12" ht="13" thickBot="1">
      <c r="B342" s="123">
        <f t="shared" si="17"/>
        <v>42341</v>
      </c>
      <c r="C342" s="124">
        <f t="shared" si="15"/>
        <v>49</v>
      </c>
      <c r="D342" s="124">
        <f t="shared" si="16"/>
        <v>12</v>
      </c>
      <c r="E342" s="28">
        <v>0</v>
      </c>
      <c r="F342" s="28" t="str">
        <f>CONCATENATE(SUMIF($C$6:$C342,C342,$E$6:$E$370)," / ",SUMIF($C$6:$C$370,C342,$E$6:$E$370))</f>
        <v>0 / 0</v>
      </c>
      <c r="G342" s="28" t="str">
        <f>CONCATENATE(SUMIF($D$6:$D342,D342,$E$6:$E$370)," / ",SUMIF($D$6:$D$370,D342,$E$6:$E$370))</f>
        <v>0 / 0</v>
      </c>
      <c r="H342" s="28" t="str">
        <f>CONCATENATE(SUM($E$6:$E342)," / ",SUM($E$6:$E$370))</f>
        <v>1280 / 1280</v>
      </c>
      <c r="I342" s="209">
        <f>SUM($E$6:$E342)/(1+B342-B$6)</f>
        <v>3.7982195845697331</v>
      </c>
      <c r="J342" s="24"/>
      <c r="K342" s="24"/>
      <c r="L342" s="24"/>
    </row>
    <row r="343" spans="2:12" ht="13" thickBot="1">
      <c r="B343" s="123">
        <f t="shared" si="17"/>
        <v>42342</v>
      </c>
      <c r="C343" s="124">
        <f t="shared" si="15"/>
        <v>49</v>
      </c>
      <c r="D343" s="124">
        <f t="shared" si="16"/>
        <v>12</v>
      </c>
      <c r="E343" s="28">
        <v>0</v>
      </c>
      <c r="F343" s="28" t="str">
        <f>CONCATENATE(SUMIF($C$6:$C343,C343,$E$6:$E$370)," / ",SUMIF($C$6:$C$370,C343,$E$6:$E$370))</f>
        <v>0 / 0</v>
      </c>
      <c r="G343" s="28" t="str">
        <f>CONCATENATE(SUMIF($D$6:$D343,D343,$E$6:$E$370)," / ",SUMIF($D$6:$D$370,D343,$E$6:$E$370))</f>
        <v>0 / 0</v>
      </c>
      <c r="H343" s="28" t="str">
        <f>CONCATENATE(SUM($E$6:$E343)," / ",SUM($E$6:$E$370))</f>
        <v>1280 / 1280</v>
      </c>
      <c r="I343" s="209">
        <f>SUM($E$6:$E343)/(1+B343-B$6)</f>
        <v>3.7869822485207099</v>
      </c>
      <c r="J343" s="24"/>
      <c r="K343" s="24"/>
      <c r="L343" s="24"/>
    </row>
    <row r="344" spans="2:12" ht="13" thickBot="1">
      <c r="B344" s="123">
        <f t="shared" si="17"/>
        <v>42343</v>
      </c>
      <c r="C344" s="124">
        <f t="shared" si="15"/>
        <v>49</v>
      </c>
      <c r="D344" s="124">
        <f t="shared" si="16"/>
        <v>12</v>
      </c>
      <c r="E344" s="28">
        <v>0</v>
      </c>
      <c r="F344" s="28" t="str">
        <f>CONCATENATE(SUMIF($C$6:$C344,C344,$E$6:$E$370)," / ",SUMIF($C$6:$C$370,C344,$E$6:$E$370))</f>
        <v>0 / 0</v>
      </c>
      <c r="G344" s="28" t="str">
        <f>CONCATENATE(SUMIF($D$6:$D344,D344,$E$6:$E$370)," / ",SUMIF($D$6:$D$370,D344,$E$6:$E$370))</f>
        <v>0 / 0</v>
      </c>
      <c r="H344" s="28" t="str">
        <f>CONCATENATE(SUM($E$6:$E344)," / ",SUM($E$6:$E$370))</f>
        <v>1280 / 1280</v>
      </c>
      <c r="I344" s="209">
        <f>SUM($E$6:$E344)/(1+B344-B$6)</f>
        <v>3.775811209439528</v>
      </c>
      <c r="J344" s="24"/>
      <c r="K344" s="24"/>
      <c r="L344" s="24"/>
    </row>
    <row r="345" spans="2:12" ht="13" thickBot="1">
      <c r="B345" s="123">
        <f t="shared" si="17"/>
        <v>42344</v>
      </c>
      <c r="C345" s="124">
        <f t="shared" si="15"/>
        <v>50</v>
      </c>
      <c r="D345" s="124">
        <f t="shared" si="16"/>
        <v>12</v>
      </c>
      <c r="E345" s="28">
        <v>0</v>
      </c>
      <c r="F345" s="28" t="str">
        <f>CONCATENATE(SUMIF($C$6:$C345,C345,$E$6:$E$370)," / ",SUMIF($C$6:$C$370,C345,$E$6:$E$370))</f>
        <v>0 / 0</v>
      </c>
      <c r="G345" s="28" t="str">
        <f>CONCATENATE(SUMIF($D$6:$D345,D345,$E$6:$E$370)," / ",SUMIF($D$6:$D$370,D345,$E$6:$E$370))</f>
        <v>0 / 0</v>
      </c>
      <c r="H345" s="28" t="str">
        <f>CONCATENATE(SUM($E$6:$E345)," / ",SUM($E$6:$E$370))</f>
        <v>1280 / 1280</v>
      </c>
      <c r="I345" s="209">
        <f>SUM($E$6:$E345)/(1+B345-B$6)</f>
        <v>3.7647058823529411</v>
      </c>
      <c r="J345" s="24"/>
      <c r="K345" s="24"/>
      <c r="L345" s="24"/>
    </row>
    <row r="346" spans="2:12" ht="13" thickBot="1">
      <c r="B346" s="123">
        <f t="shared" si="17"/>
        <v>42345</v>
      </c>
      <c r="C346" s="124">
        <f t="shared" si="15"/>
        <v>50</v>
      </c>
      <c r="D346" s="124">
        <f t="shared" si="16"/>
        <v>12</v>
      </c>
      <c r="E346" s="28">
        <v>0</v>
      </c>
      <c r="F346" s="28" t="str">
        <f>CONCATENATE(SUMIF($C$6:$C346,C346,$E$6:$E$370)," / ",SUMIF($C$6:$C$370,C346,$E$6:$E$370))</f>
        <v>0 / 0</v>
      </c>
      <c r="G346" s="28" t="str">
        <f>CONCATENATE(SUMIF($D$6:$D346,D346,$E$6:$E$370)," / ",SUMIF($D$6:$D$370,D346,$E$6:$E$370))</f>
        <v>0 / 0</v>
      </c>
      <c r="H346" s="28" t="str">
        <f>CONCATENATE(SUM($E$6:$E346)," / ",SUM($E$6:$E$370))</f>
        <v>1280 / 1280</v>
      </c>
      <c r="I346" s="209">
        <f>SUM($E$6:$E346)/(1+B346-B$6)</f>
        <v>3.7536656891495603</v>
      </c>
      <c r="J346" s="24"/>
      <c r="K346" s="24"/>
      <c r="L346" s="24"/>
    </row>
    <row r="347" spans="2:12" ht="13" thickBot="1">
      <c r="B347" s="123">
        <f t="shared" si="17"/>
        <v>42346</v>
      </c>
      <c r="C347" s="124">
        <f t="shared" si="15"/>
        <v>50</v>
      </c>
      <c r="D347" s="124">
        <f t="shared" si="16"/>
        <v>12</v>
      </c>
      <c r="E347" s="28">
        <v>0</v>
      </c>
      <c r="F347" s="28" t="str">
        <f>CONCATENATE(SUMIF($C$6:$C347,C347,$E$6:$E$370)," / ",SUMIF($C$6:$C$370,C347,$E$6:$E$370))</f>
        <v>0 / 0</v>
      </c>
      <c r="G347" s="28" t="str">
        <f>CONCATENATE(SUMIF($D$6:$D347,D347,$E$6:$E$370)," / ",SUMIF($D$6:$D$370,D347,$E$6:$E$370))</f>
        <v>0 / 0</v>
      </c>
      <c r="H347" s="28" t="str">
        <f>CONCATENATE(SUM($E$6:$E347)," / ",SUM($E$6:$E$370))</f>
        <v>1280 / 1280</v>
      </c>
      <c r="I347" s="209">
        <f>SUM($E$6:$E347)/(1+B347-B$6)</f>
        <v>3.742690058479532</v>
      </c>
      <c r="J347" s="24"/>
      <c r="K347" s="24"/>
      <c r="L347" s="24"/>
    </row>
    <row r="348" spans="2:12" ht="13" thickBot="1">
      <c r="B348" s="123">
        <f t="shared" si="17"/>
        <v>42347</v>
      </c>
      <c r="C348" s="124">
        <f t="shared" si="15"/>
        <v>50</v>
      </c>
      <c r="D348" s="124">
        <f t="shared" si="16"/>
        <v>12</v>
      </c>
      <c r="E348" s="28">
        <v>0</v>
      </c>
      <c r="F348" s="28" t="str">
        <f>CONCATENATE(SUMIF($C$6:$C348,C348,$E$6:$E$370)," / ",SUMIF($C$6:$C$370,C348,$E$6:$E$370))</f>
        <v>0 / 0</v>
      </c>
      <c r="G348" s="28" t="str">
        <f>CONCATENATE(SUMIF($D$6:$D348,D348,$E$6:$E$370)," / ",SUMIF($D$6:$D$370,D348,$E$6:$E$370))</f>
        <v>0 / 0</v>
      </c>
      <c r="H348" s="28" t="str">
        <f>CONCATENATE(SUM($E$6:$E348)," / ",SUM($E$6:$E$370))</f>
        <v>1280 / 1280</v>
      </c>
      <c r="I348" s="209">
        <f>SUM($E$6:$E348)/(1+B348-B$6)</f>
        <v>3.7317784256559765</v>
      </c>
      <c r="J348" s="24"/>
      <c r="K348" s="24"/>
      <c r="L348" s="24"/>
    </row>
    <row r="349" spans="2:12" ht="13" thickBot="1">
      <c r="B349" s="123">
        <f t="shared" si="17"/>
        <v>42348</v>
      </c>
      <c r="C349" s="124">
        <f t="shared" si="15"/>
        <v>50</v>
      </c>
      <c r="D349" s="124">
        <f t="shared" si="16"/>
        <v>12</v>
      </c>
      <c r="E349" s="28">
        <v>0</v>
      </c>
      <c r="F349" s="28" t="str">
        <f>CONCATENATE(SUMIF($C$6:$C349,C349,$E$6:$E$370)," / ",SUMIF($C$6:$C$370,C349,$E$6:$E$370))</f>
        <v>0 / 0</v>
      </c>
      <c r="G349" s="28" t="str">
        <f>CONCATENATE(SUMIF($D$6:$D349,D349,$E$6:$E$370)," / ",SUMIF($D$6:$D$370,D349,$E$6:$E$370))</f>
        <v>0 / 0</v>
      </c>
      <c r="H349" s="28" t="str">
        <f>CONCATENATE(SUM($E$6:$E349)," / ",SUM($E$6:$E$370))</f>
        <v>1280 / 1280</v>
      </c>
      <c r="I349" s="209">
        <f>SUM($E$6:$E349)/(1+B349-B$6)</f>
        <v>3.7209302325581395</v>
      </c>
      <c r="J349" s="24"/>
      <c r="K349" s="24"/>
      <c r="L349" s="24"/>
    </row>
    <row r="350" spans="2:12" ht="13" thickBot="1">
      <c r="B350" s="123">
        <f t="shared" si="17"/>
        <v>42349</v>
      </c>
      <c r="C350" s="124">
        <f t="shared" si="15"/>
        <v>50</v>
      </c>
      <c r="D350" s="124">
        <f t="shared" si="16"/>
        <v>12</v>
      </c>
      <c r="E350" s="28">
        <v>0</v>
      </c>
      <c r="F350" s="28" t="str">
        <f>CONCATENATE(SUMIF($C$6:$C350,C350,$E$6:$E$370)," / ",SUMIF($C$6:$C$370,C350,$E$6:$E$370))</f>
        <v>0 / 0</v>
      </c>
      <c r="G350" s="28" t="str">
        <f>CONCATENATE(SUMIF($D$6:$D350,D350,$E$6:$E$370)," / ",SUMIF($D$6:$D$370,D350,$E$6:$E$370))</f>
        <v>0 / 0</v>
      </c>
      <c r="H350" s="28" t="str">
        <f>CONCATENATE(SUM($E$6:$E350)," / ",SUM($E$6:$E$370))</f>
        <v>1280 / 1280</v>
      </c>
      <c r="I350" s="209">
        <f>SUM($E$6:$E350)/(1+B350-B$6)</f>
        <v>3.7101449275362319</v>
      </c>
      <c r="J350" s="24"/>
      <c r="K350" s="24"/>
      <c r="L350" s="24"/>
    </row>
    <row r="351" spans="2:12" ht="13" thickBot="1">
      <c r="B351" s="123">
        <f t="shared" si="17"/>
        <v>42350</v>
      </c>
      <c r="C351" s="124">
        <f t="shared" si="15"/>
        <v>50</v>
      </c>
      <c r="D351" s="124">
        <f t="shared" si="16"/>
        <v>12</v>
      </c>
      <c r="E351" s="28">
        <v>0</v>
      </c>
      <c r="F351" s="28" t="str">
        <f>CONCATENATE(SUMIF($C$6:$C351,C351,$E$6:$E$370)," / ",SUMIF($C$6:$C$370,C351,$E$6:$E$370))</f>
        <v>0 / 0</v>
      </c>
      <c r="G351" s="28" t="str">
        <f>CONCATENATE(SUMIF($D$6:$D351,D351,$E$6:$E$370)," / ",SUMIF($D$6:$D$370,D351,$E$6:$E$370))</f>
        <v>0 / 0</v>
      </c>
      <c r="H351" s="28" t="str">
        <f>CONCATENATE(SUM($E$6:$E351)," / ",SUM($E$6:$E$370))</f>
        <v>1280 / 1280</v>
      </c>
      <c r="I351" s="209">
        <f>SUM($E$6:$E351)/(1+B351-B$6)</f>
        <v>3.699421965317919</v>
      </c>
      <c r="J351" s="24"/>
      <c r="K351" s="24"/>
      <c r="L351" s="24"/>
    </row>
    <row r="352" spans="2:12" ht="13" thickBot="1">
      <c r="B352" s="123">
        <f t="shared" si="17"/>
        <v>42351</v>
      </c>
      <c r="C352" s="124">
        <f t="shared" si="15"/>
        <v>51</v>
      </c>
      <c r="D352" s="124">
        <f t="shared" si="16"/>
        <v>12</v>
      </c>
      <c r="E352" s="28">
        <v>0</v>
      </c>
      <c r="F352" s="28" t="str">
        <f>CONCATENATE(SUMIF($C$6:$C352,C352,$E$6:$E$370)," / ",SUMIF($C$6:$C$370,C352,$E$6:$E$370))</f>
        <v>0 / 0</v>
      </c>
      <c r="G352" s="28" t="str">
        <f>CONCATENATE(SUMIF($D$6:$D352,D352,$E$6:$E$370)," / ",SUMIF($D$6:$D$370,D352,$E$6:$E$370))</f>
        <v>0 / 0</v>
      </c>
      <c r="H352" s="28" t="str">
        <f>CONCATENATE(SUM($E$6:$E352)," / ",SUM($E$6:$E$370))</f>
        <v>1280 / 1280</v>
      </c>
      <c r="I352" s="209">
        <f>SUM($E$6:$E352)/(1+B352-B$6)</f>
        <v>3.6887608069164264</v>
      </c>
      <c r="J352" s="24"/>
      <c r="K352" s="24"/>
      <c r="L352" s="24"/>
    </row>
    <row r="353" spans="2:12" ht="13" thickBot="1">
      <c r="B353" s="123">
        <f t="shared" si="17"/>
        <v>42352</v>
      </c>
      <c r="C353" s="124">
        <f t="shared" si="15"/>
        <v>51</v>
      </c>
      <c r="D353" s="124">
        <f t="shared" si="16"/>
        <v>12</v>
      </c>
      <c r="E353" s="28">
        <v>0</v>
      </c>
      <c r="F353" s="28" t="str">
        <f>CONCATENATE(SUMIF($C$6:$C353,C353,$E$6:$E$370)," / ",SUMIF($C$6:$C$370,C353,$E$6:$E$370))</f>
        <v>0 / 0</v>
      </c>
      <c r="G353" s="28" t="str">
        <f>CONCATENATE(SUMIF($D$6:$D353,D353,$E$6:$E$370)," / ",SUMIF($D$6:$D$370,D353,$E$6:$E$370))</f>
        <v>0 / 0</v>
      </c>
      <c r="H353" s="28" t="str">
        <f>CONCATENATE(SUM($E$6:$E353)," / ",SUM($E$6:$E$370))</f>
        <v>1280 / 1280</v>
      </c>
      <c r="I353" s="209">
        <f>SUM($E$6:$E353)/(1+B353-B$6)</f>
        <v>3.6781609195402298</v>
      </c>
      <c r="J353" s="24"/>
      <c r="K353" s="24"/>
      <c r="L353" s="24"/>
    </row>
    <row r="354" spans="2:12" ht="13" thickBot="1">
      <c r="B354" s="123">
        <f t="shared" si="17"/>
        <v>42353</v>
      </c>
      <c r="C354" s="124">
        <f t="shared" si="15"/>
        <v>51</v>
      </c>
      <c r="D354" s="124">
        <f t="shared" si="16"/>
        <v>12</v>
      </c>
      <c r="E354" s="28">
        <v>0</v>
      </c>
      <c r="F354" s="28" t="str">
        <f>CONCATENATE(SUMIF($C$6:$C354,C354,$E$6:$E$370)," / ",SUMIF($C$6:$C$370,C354,$E$6:$E$370))</f>
        <v>0 / 0</v>
      </c>
      <c r="G354" s="28" t="str">
        <f>CONCATENATE(SUMIF($D$6:$D354,D354,$E$6:$E$370)," / ",SUMIF($D$6:$D$370,D354,$E$6:$E$370))</f>
        <v>0 / 0</v>
      </c>
      <c r="H354" s="28" t="str">
        <f>CONCATENATE(SUM($E$6:$E354)," / ",SUM($E$6:$E$370))</f>
        <v>1280 / 1280</v>
      </c>
      <c r="I354" s="209">
        <f>SUM($E$6:$E354)/(1+B354-B$6)</f>
        <v>3.6676217765042982</v>
      </c>
      <c r="J354" s="24"/>
      <c r="K354" s="24"/>
      <c r="L354" s="24"/>
    </row>
    <row r="355" spans="2:12" ht="13" thickBot="1">
      <c r="B355" s="123">
        <f t="shared" si="17"/>
        <v>42354</v>
      </c>
      <c r="C355" s="124">
        <f t="shared" si="15"/>
        <v>51</v>
      </c>
      <c r="D355" s="124">
        <f t="shared" si="16"/>
        <v>12</v>
      </c>
      <c r="E355" s="28">
        <v>0</v>
      </c>
      <c r="F355" s="28" t="str">
        <f>CONCATENATE(SUMIF($C$6:$C355,C355,$E$6:$E$370)," / ",SUMIF($C$6:$C$370,C355,$E$6:$E$370))</f>
        <v>0 / 0</v>
      </c>
      <c r="G355" s="28" t="str">
        <f>CONCATENATE(SUMIF($D$6:$D355,D355,$E$6:$E$370)," / ",SUMIF($D$6:$D$370,D355,$E$6:$E$370))</f>
        <v>0 / 0</v>
      </c>
      <c r="H355" s="28" t="str">
        <f>CONCATENATE(SUM($E$6:$E355)," / ",SUM($E$6:$E$370))</f>
        <v>1280 / 1280</v>
      </c>
      <c r="I355" s="209">
        <f>SUM($E$6:$E355)/(1+B355-B$6)</f>
        <v>3.657142857142857</v>
      </c>
      <c r="J355" s="24"/>
      <c r="K355" s="24"/>
      <c r="L355" s="24"/>
    </row>
    <row r="356" spans="2:12" ht="13" thickBot="1">
      <c r="B356" s="123">
        <f t="shared" si="17"/>
        <v>42355</v>
      </c>
      <c r="C356" s="124">
        <f t="shared" si="15"/>
        <v>51</v>
      </c>
      <c r="D356" s="124">
        <f t="shared" si="16"/>
        <v>12</v>
      </c>
      <c r="E356" s="28">
        <v>0</v>
      </c>
      <c r="F356" s="28" t="str">
        <f>CONCATENATE(SUMIF($C$6:$C356,C356,$E$6:$E$370)," / ",SUMIF($C$6:$C$370,C356,$E$6:$E$370))</f>
        <v>0 / 0</v>
      </c>
      <c r="G356" s="28" t="str">
        <f>CONCATENATE(SUMIF($D$6:$D356,D356,$E$6:$E$370)," / ",SUMIF($D$6:$D$370,D356,$E$6:$E$370))</f>
        <v>0 / 0</v>
      </c>
      <c r="H356" s="28" t="str">
        <f>CONCATENATE(SUM($E$6:$E356)," / ",SUM($E$6:$E$370))</f>
        <v>1280 / 1280</v>
      </c>
      <c r="I356" s="209">
        <f>SUM($E$6:$E356)/(1+B356-B$6)</f>
        <v>3.6467236467236468</v>
      </c>
      <c r="J356" s="24"/>
      <c r="K356" s="24"/>
      <c r="L356" s="24"/>
    </row>
    <row r="357" spans="2:12" ht="13" thickBot="1">
      <c r="B357" s="123">
        <f t="shared" si="17"/>
        <v>42356</v>
      </c>
      <c r="C357" s="124">
        <f t="shared" si="15"/>
        <v>51</v>
      </c>
      <c r="D357" s="124">
        <f t="shared" si="16"/>
        <v>12</v>
      </c>
      <c r="E357" s="28">
        <v>0</v>
      </c>
      <c r="F357" s="28" t="str">
        <f>CONCATENATE(SUMIF($C$6:$C357,C357,$E$6:$E$370)," / ",SUMIF($C$6:$C$370,C357,$E$6:$E$370))</f>
        <v>0 / 0</v>
      </c>
      <c r="G357" s="28" t="str">
        <f>CONCATENATE(SUMIF($D$6:$D357,D357,$E$6:$E$370)," / ",SUMIF($D$6:$D$370,D357,$E$6:$E$370))</f>
        <v>0 / 0</v>
      </c>
      <c r="H357" s="28" t="str">
        <f>CONCATENATE(SUM($E$6:$E357)," / ",SUM($E$6:$E$370))</f>
        <v>1280 / 1280</v>
      </c>
      <c r="I357" s="209">
        <f>SUM($E$6:$E357)/(1+B357-B$6)</f>
        <v>3.6363636363636362</v>
      </c>
      <c r="J357" s="24"/>
      <c r="K357" s="24"/>
      <c r="L357" s="24"/>
    </row>
    <row r="358" spans="2:12" ht="13" thickBot="1">
      <c r="B358" s="123">
        <f t="shared" si="17"/>
        <v>42357</v>
      </c>
      <c r="C358" s="124">
        <f t="shared" si="15"/>
        <v>51</v>
      </c>
      <c r="D358" s="124">
        <f t="shared" si="16"/>
        <v>12</v>
      </c>
      <c r="E358" s="28">
        <v>0</v>
      </c>
      <c r="F358" s="28" t="str">
        <f>CONCATENATE(SUMIF($C$6:$C358,C358,$E$6:$E$370)," / ",SUMIF($C$6:$C$370,C358,$E$6:$E$370))</f>
        <v>0 / 0</v>
      </c>
      <c r="G358" s="28" t="str">
        <f>CONCATENATE(SUMIF($D$6:$D358,D358,$E$6:$E$370)," / ",SUMIF($D$6:$D$370,D358,$E$6:$E$370))</f>
        <v>0 / 0</v>
      </c>
      <c r="H358" s="28" t="str">
        <f>CONCATENATE(SUM($E$6:$E358)," / ",SUM($E$6:$E$370))</f>
        <v>1280 / 1280</v>
      </c>
      <c r="I358" s="209">
        <f>SUM($E$6:$E358)/(1+B358-B$6)</f>
        <v>3.6260623229461757</v>
      </c>
      <c r="J358" s="24"/>
      <c r="K358" s="24"/>
      <c r="L358" s="24"/>
    </row>
    <row r="359" spans="2:12" ht="13" thickBot="1">
      <c r="B359" s="123">
        <f t="shared" si="17"/>
        <v>42358</v>
      </c>
      <c r="C359" s="124">
        <f t="shared" si="15"/>
        <v>52</v>
      </c>
      <c r="D359" s="124">
        <f t="shared" si="16"/>
        <v>12</v>
      </c>
      <c r="E359" s="28">
        <v>0</v>
      </c>
      <c r="F359" s="28" t="str">
        <f>CONCATENATE(SUMIF($C$6:$C359,C359,$E$6:$E$370)," / ",SUMIF($C$6:$C$370,C359,$E$6:$E$370))</f>
        <v>0 / 0</v>
      </c>
      <c r="G359" s="28" t="str">
        <f>CONCATENATE(SUMIF($D$6:$D359,D359,$E$6:$E$370)," / ",SUMIF($D$6:$D$370,D359,$E$6:$E$370))</f>
        <v>0 / 0</v>
      </c>
      <c r="H359" s="28" t="str">
        <f>CONCATENATE(SUM($E$6:$E359)," / ",SUM($E$6:$E$370))</f>
        <v>1280 / 1280</v>
      </c>
      <c r="I359" s="209">
        <f>SUM($E$6:$E359)/(1+B359-B$6)</f>
        <v>3.615819209039548</v>
      </c>
      <c r="J359" s="24"/>
      <c r="K359" s="24"/>
      <c r="L359" s="24"/>
    </row>
    <row r="360" spans="2:12" ht="13" thickBot="1">
      <c r="B360" s="123">
        <f t="shared" si="17"/>
        <v>42359</v>
      </c>
      <c r="C360" s="124">
        <f t="shared" si="15"/>
        <v>52</v>
      </c>
      <c r="D360" s="124">
        <f t="shared" si="16"/>
        <v>12</v>
      </c>
      <c r="E360" s="28">
        <v>0</v>
      </c>
      <c r="F360" s="28" t="str">
        <f>CONCATENATE(SUMIF($C$6:$C360,C360,$E$6:$E$370)," / ",SUMIF($C$6:$C$370,C360,$E$6:$E$370))</f>
        <v>0 / 0</v>
      </c>
      <c r="G360" s="28" t="str">
        <f>CONCATENATE(SUMIF($D$6:$D360,D360,$E$6:$E$370)," / ",SUMIF($D$6:$D$370,D360,$E$6:$E$370))</f>
        <v>0 / 0</v>
      </c>
      <c r="H360" s="28" t="str">
        <f>CONCATENATE(SUM($E$6:$E360)," / ",SUM($E$6:$E$370))</f>
        <v>1280 / 1280</v>
      </c>
      <c r="I360" s="209">
        <f>SUM($E$6:$E360)/(1+B360-B$6)</f>
        <v>3.6056338028169015</v>
      </c>
      <c r="J360" s="24"/>
      <c r="K360" s="24"/>
      <c r="L360" s="24"/>
    </row>
    <row r="361" spans="2:12" ht="13" thickBot="1">
      <c r="B361" s="123">
        <f t="shared" si="17"/>
        <v>42360</v>
      </c>
      <c r="C361" s="124">
        <f t="shared" si="15"/>
        <v>52</v>
      </c>
      <c r="D361" s="124">
        <f t="shared" si="16"/>
        <v>12</v>
      </c>
      <c r="E361" s="28">
        <v>0</v>
      </c>
      <c r="F361" s="28" t="str">
        <f>CONCATENATE(SUMIF($C$6:$C361,C361,$E$6:$E$370)," / ",SUMIF($C$6:$C$370,C361,$E$6:$E$370))</f>
        <v>0 / 0</v>
      </c>
      <c r="G361" s="28" t="str">
        <f>CONCATENATE(SUMIF($D$6:$D361,D361,$E$6:$E$370)," / ",SUMIF($D$6:$D$370,D361,$E$6:$E$370))</f>
        <v>0 / 0</v>
      </c>
      <c r="H361" s="28" t="str">
        <f>CONCATENATE(SUM($E$6:$E361)," / ",SUM($E$6:$E$370))</f>
        <v>1280 / 1280</v>
      </c>
      <c r="I361" s="209">
        <f>SUM($E$6:$E361)/(1+B361-B$6)</f>
        <v>3.595505617977528</v>
      </c>
      <c r="J361" s="24"/>
      <c r="K361" s="24"/>
      <c r="L361" s="24"/>
    </row>
    <row r="362" spans="2:12" ht="13" thickBot="1">
      <c r="B362" s="123">
        <f t="shared" si="17"/>
        <v>42361</v>
      </c>
      <c r="C362" s="124">
        <f t="shared" si="15"/>
        <v>52</v>
      </c>
      <c r="D362" s="124">
        <f t="shared" si="16"/>
        <v>12</v>
      </c>
      <c r="E362" s="28">
        <v>0</v>
      </c>
      <c r="F362" s="28" t="str">
        <f>CONCATENATE(SUMIF($C$6:$C362,C362,$E$6:$E$370)," / ",SUMIF($C$6:$C$370,C362,$E$6:$E$370))</f>
        <v>0 / 0</v>
      </c>
      <c r="G362" s="28" t="str">
        <f>CONCATENATE(SUMIF($D$6:$D362,D362,$E$6:$E$370)," / ",SUMIF($D$6:$D$370,D362,$E$6:$E$370))</f>
        <v>0 / 0</v>
      </c>
      <c r="H362" s="28" t="str">
        <f>CONCATENATE(SUM($E$6:$E362)," / ",SUM($E$6:$E$370))</f>
        <v>1280 / 1280</v>
      </c>
      <c r="I362" s="209">
        <f>SUM($E$6:$E362)/(1+B362-B$6)</f>
        <v>3.5854341736694679</v>
      </c>
      <c r="J362" s="24"/>
      <c r="K362" s="24"/>
      <c r="L362" s="24"/>
    </row>
    <row r="363" spans="2:12" ht="13" thickBot="1">
      <c r="B363" s="123">
        <f t="shared" si="17"/>
        <v>42362</v>
      </c>
      <c r="C363" s="124">
        <f t="shared" si="15"/>
        <v>52</v>
      </c>
      <c r="D363" s="124">
        <f t="shared" si="16"/>
        <v>12</v>
      </c>
      <c r="E363" s="28">
        <v>0</v>
      </c>
      <c r="F363" s="28" t="str">
        <f>CONCATENATE(SUMIF($C$6:$C363,C363,$E$6:$E$370)," / ",SUMIF($C$6:$C$370,C363,$E$6:$E$370))</f>
        <v>0 / 0</v>
      </c>
      <c r="G363" s="28" t="str">
        <f>CONCATENATE(SUMIF($D$6:$D363,D363,$E$6:$E$370)," / ",SUMIF($D$6:$D$370,D363,$E$6:$E$370))</f>
        <v>0 / 0</v>
      </c>
      <c r="H363" s="28" t="str">
        <f>CONCATENATE(SUM($E$6:$E363)," / ",SUM($E$6:$E$370))</f>
        <v>1280 / 1280</v>
      </c>
      <c r="I363" s="209">
        <f>SUM($E$6:$E363)/(1+B363-B$6)</f>
        <v>3.5754189944134076</v>
      </c>
      <c r="J363" s="24"/>
      <c r="K363" s="24"/>
      <c r="L363" s="24"/>
    </row>
    <row r="364" spans="2:12" ht="13" thickBot="1">
      <c r="B364" s="123">
        <f t="shared" si="17"/>
        <v>42363</v>
      </c>
      <c r="C364" s="124">
        <f t="shared" si="15"/>
        <v>52</v>
      </c>
      <c r="D364" s="124">
        <f t="shared" si="16"/>
        <v>12</v>
      </c>
      <c r="E364" s="28">
        <v>0</v>
      </c>
      <c r="F364" s="28" t="str">
        <f>CONCATENATE(SUMIF($C$6:$C364,C364,$E$6:$E$370)," / ",SUMIF($C$6:$C$370,C364,$E$6:$E$370))</f>
        <v>0 / 0</v>
      </c>
      <c r="G364" s="28" t="str">
        <f>CONCATENATE(SUMIF($D$6:$D364,D364,$E$6:$E$370)," / ",SUMIF($D$6:$D$370,D364,$E$6:$E$370))</f>
        <v>0 / 0</v>
      </c>
      <c r="H364" s="28" t="str">
        <f>CONCATENATE(SUM($E$6:$E364)," / ",SUM($E$6:$E$370))</f>
        <v>1280 / 1280</v>
      </c>
      <c r="I364" s="209">
        <f>SUM($E$6:$E364)/(1+B364-B$6)</f>
        <v>3.5654596100278551</v>
      </c>
      <c r="J364" s="24"/>
      <c r="K364" s="24"/>
      <c r="L364" s="24"/>
    </row>
    <row r="365" spans="2:12" ht="13" thickBot="1">
      <c r="B365" s="123">
        <f t="shared" si="17"/>
        <v>42364</v>
      </c>
      <c r="C365" s="124">
        <f t="shared" si="15"/>
        <v>52</v>
      </c>
      <c r="D365" s="124">
        <f t="shared" si="16"/>
        <v>12</v>
      </c>
      <c r="E365" s="28">
        <v>0</v>
      </c>
      <c r="F365" s="28" t="str">
        <f>CONCATENATE(SUMIF($C$6:$C365,C365,$E$6:$E$370)," / ",SUMIF($C$6:$C$370,C365,$E$6:$E$370))</f>
        <v>0 / 0</v>
      </c>
      <c r="G365" s="28" t="str">
        <f>CONCATENATE(SUMIF($D$6:$D365,D365,$E$6:$E$370)," / ",SUMIF($D$6:$D$370,D365,$E$6:$E$370))</f>
        <v>0 / 0</v>
      </c>
      <c r="H365" s="28" t="str">
        <f>CONCATENATE(SUM($E$6:$E365)," / ",SUM($E$6:$E$370))</f>
        <v>1280 / 1280</v>
      </c>
      <c r="I365" s="209">
        <f>SUM($E$6:$E365)/(1+B365-B$6)</f>
        <v>3.5555555555555554</v>
      </c>
      <c r="J365" s="24"/>
      <c r="K365" s="24"/>
      <c r="L365" s="24"/>
    </row>
    <row r="366" spans="2:12" ht="13" thickBot="1">
      <c r="B366" s="123">
        <f t="shared" si="17"/>
        <v>42365</v>
      </c>
      <c r="C366" s="124">
        <f t="shared" si="15"/>
        <v>53</v>
      </c>
      <c r="D366" s="124">
        <f t="shared" si="16"/>
        <v>12</v>
      </c>
      <c r="E366" s="28">
        <v>0</v>
      </c>
      <c r="F366" s="28" t="str">
        <f>CONCATENATE(SUMIF($C$6:$C366,C366,$E$6:$E$370)," / ",SUMIF($C$6:$C$370,C366,$E$6:$E$370))</f>
        <v>0 / 0</v>
      </c>
      <c r="G366" s="28" t="str">
        <f>CONCATENATE(SUMIF($D$6:$D366,D366,$E$6:$E$370)," / ",SUMIF($D$6:$D$370,D366,$E$6:$E$370))</f>
        <v>0 / 0</v>
      </c>
      <c r="H366" s="28" t="str">
        <f>CONCATENATE(SUM($E$6:$E366)," / ",SUM($E$6:$E$370))</f>
        <v>1280 / 1280</v>
      </c>
      <c r="I366" s="209">
        <f>SUM($E$6:$E366)/(1+B366-B$6)</f>
        <v>3.5457063711911356</v>
      </c>
      <c r="J366" s="24"/>
      <c r="K366" s="24"/>
      <c r="L366" s="24"/>
    </row>
    <row r="367" spans="2:12" ht="13" thickBot="1">
      <c r="B367" s="123">
        <f t="shared" si="17"/>
        <v>42366</v>
      </c>
      <c r="C367" s="124">
        <f t="shared" si="15"/>
        <v>53</v>
      </c>
      <c r="D367" s="124">
        <f t="shared" si="16"/>
        <v>12</v>
      </c>
      <c r="E367" s="28">
        <v>0</v>
      </c>
      <c r="F367" s="28" t="str">
        <f>CONCATENATE(SUMIF($C$6:$C367,C367,$E$6:$E$370)," / ",SUMIF($C$6:$C$370,C367,$E$6:$E$370))</f>
        <v>0 / 0</v>
      </c>
      <c r="G367" s="28" t="str">
        <f>CONCATENATE(SUMIF($D$6:$D367,D367,$E$6:$E$370)," / ",SUMIF($D$6:$D$370,D367,$E$6:$E$370))</f>
        <v>0 / 0</v>
      </c>
      <c r="H367" s="28" t="str">
        <f>CONCATENATE(SUM($E$6:$E367)," / ",SUM($E$6:$E$370))</f>
        <v>1280 / 1280</v>
      </c>
      <c r="I367" s="209">
        <f>SUM($E$6:$E367)/(1+B367-B$6)</f>
        <v>3.5359116022099446</v>
      </c>
      <c r="J367" s="24"/>
      <c r="K367" s="24"/>
      <c r="L367" s="24"/>
    </row>
    <row r="368" spans="2:12" ht="13" thickBot="1">
      <c r="B368" s="123">
        <f t="shared" si="17"/>
        <v>42367</v>
      </c>
      <c r="C368" s="124">
        <f t="shared" si="15"/>
        <v>53</v>
      </c>
      <c r="D368" s="124">
        <f t="shared" si="16"/>
        <v>12</v>
      </c>
      <c r="E368" s="28">
        <v>0</v>
      </c>
      <c r="F368" s="28" t="str">
        <f>CONCATENATE(SUMIF($C$6:$C368,C368,$E$6:$E$370)," / ",SUMIF($C$6:$C$370,C368,$E$6:$E$370))</f>
        <v>0 / 0</v>
      </c>
      <c r="G368" s="28" t="str">
        <f>CONCATENATE(SUMIF($D$6:$D368,D368,$E$6:$E$370)," / ",SUMIF($D$6:$D$370,D368,$E$6:$E$370))</f>
        <v>0 / 0</v>
      </c>
      <c r="H368" s="28" t="str">
        <f>CONCATENATE(SUM($E$6:$E368)," / ",SUM($E$6:$E$370))</f>
        <v>1280 / 1280</v>
      </c>
      <c r="I368" s="209">
        <f>SUM($E$6:$E368)/(1+B368-B$6)</f>
        <v>3.5261707988980717</v>
      </c>
      <c r="J368" s="24"/>
      <c r="K368" s="24"/>
      <c r="L368" s="24"/>
    </row>
    <row r="369" spans="2:12" ht="13" thickBot="1">
      <c r="B369" s="123">
        <f t="shared" si="17"/>
        <v>42368</v>
      </c>
      <c r="C369" s="124">
        <f t="shared" si="15"/>
        <v>53</v>
      </c>
      <c r="D369" s="124">
        <f t="shared" si="16"/>
        <v>12</v>
      </c>
      <c r="E369" s="28">
        <v>0</v>
      </c>
      <c r="F369" s="28" t="str">
        <f>CONCATENATE(SUMIF($C$6:$C369,C369,$E$6:$E$370)," / ",SUMIF($C$6:$C$370,C369,$E$6:$E$370))</f>
        <v>0 / 0</v>
      </c>
      <c r="G369" s="28" t="str">
        <f>CONCATENATE(SUMIF($D$6:$D369,D369,$E$6:$E$370)," / ",SUMIF($D$6:$D$370,D369,$E$6:$E$370))</f>
        <v>0 / 0</v>
      </c>
      <c r="H369" s="28" t="str">
        <f>CONCATENATE(SUM($E$6:$E369)," / ",SUM($E$6:$E$370))</f>
        <v>1280 / 1280</v>
      </c>
      <c r="I369" s="209">
        <f>SUM($E$6:$E369)/(1+B369-B$6)</f>
        <v>3.5164835164835164</v>
      </c>
      <c r="J369" s="24"/>
      <c r="K369" s="24"/>
      <c r="L369" s="24"/>
    </row>
    <row r="370" spans="2:12" ht="13" thickBot="1">
      <c r="B370" s="123">
        <f t="shared" si="17"/>
        <v>42369</v>
      </c>
      <c r="C370" s="124">
        <f t="shared" si="15"/>
        <v>53</v>
      </c>
      <c r="D370" s="124">
        <f>MONTH(B370)</f>
        <v>12</v>
      </c>
      <c r="E370" s="28">
        <v>0</v>
      </c>
      <c r="F370" s="28" t="str">
        <f>CONCATENATE(SUMIF($C$6:$C370,C370,$E$6:$E$370)," / ",SUMIF($C$6:$C$370,C370,$E$6:$E$370))</f>
        <v>0 / 0</v>
      </c>
      <c r="G370" s="28" t="str">
        <f>CONCATENATE(SUMIF($D$6:$D370,D370,$E$6:$E$370)," / ",SUMIF($D$6:$D$370,D370,$E$6:$E$370))</f>
        <v>0 / 0</v>
      </c>
      <c r="H370" s="28" t="str">
        <f>CONCATENATE(SUM($E$6:$E370)," / ",SUM($E$6:$E$370))</f>
        <v>1280 / 1280</v>
      </c>
      <c r="I370" s="209">
        <f>SUM($E$6:$E370)/(1+B370-B$6)</f>
        <v>3.506849315068493</v>
      </c>
      <c r="J370" s="24"/>
      <c r="K370" s="24"/>
      <c r="L370" s="24"/>
    </row>
  </sheetData>
  <mergeCells count="3">
    <mergeCell ref="B4:L4"/>
    <mergeCell ref="B2:L2"/>
    <mergeCell ref="N2:N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showGridLines="0" topLeftCell="A27" workbookViewId="0">
      <selection activeCell="L23" sqref="L23"/>
    </sheetView>
  </sheetViews>
  <sheetFormatPr baseColWidth="10" defaultRowHeight="12" x14ac:dyDescent="0"/>
  <cols>
    <col min="1" max="1" width="14.33203125" customWidth="1"/>
    <col min="2" max="2" width="15.83203125" style="3" customWidth="1"/>
    <col min="4" max="4" width="35" customWidth="1"/>
    <col min="5" max="5" width="14" customWidth="1"/>
    <col min="8" max="8" width="23" customWidth="1"/>
    <col min="9" max="9" width="17" customWidth="1"/>
  </cols>
  <sheetData>
    <row r="1" spans="2:9" ht="13" thickBot="1"/>
    <row r="2" spans="2:9" ht="23" customHeight="1" thickBot="1">
      <c r="B2" s="398" t="s">
        <v>166</v>
      </c>
      <c r="C2" s="399"/>
      <c r="D2" s="399"/>
      <c r="E2" s="399"/>
    </row>
    <row r="8" spans="2:9" ht="13" thickBot="1"/>
    <row r="9" spans="2:9" ht="14" thickBot="1">
      <c r="B9" s="11" t="s">
        <v>75</v>
      </c>
      <c r="C9" s="12" t="s">
        <v>0</v>
      </c>
      <c r="D9" s="12" t="s">
        <v>8</v>
      </c>
      <c r="E9" s="12" t="s">
        <v>22</v>
      </c>
      <c r="H9" s="12" t="s">
        <v>38</v>
      </c>
      <c r="I9" s="12" t="s">
        <v>61</v>
      </c>
    </row>
    <row r="10" spans="2:9" ht="14" thickBot="1">
      <c r="B10" s="5">
        <f t="shared" ref="B10:B70" si="0">B11-1</f>
        <v>42002</v>
      </c>
      <c r="C10" s="6" t="s">
        <v>1</v>
      </c>
      <c r="D10" s="6" t="s">
        <v>9</v>
      </c>
      <c r="E10" s="396" t="s">
        <v>23</v>
      </c>
      <c r="H10" s="6" t="s">
        <v>39</v>
      </c>
      <c r="I10" s="6" t="s">
        <v>62</v>
      </c>
    </row>
    <row r="11" spans="2:9" ht="14" thickBot="1">
      <c r="B11" s="5">
        <f t="shared" si="0"/>
        <v>42003</v>
      </c>
      <c r="C11" s="6" t="s">
        <v>2</v>
      </c>
      <c r="D11" s="6" t="s">
        <v>10</v>
      </c>
      <c r="E11" s="396"/>
      <c r="H11" s="6" t="s">
        <v>40</v>
      </c>
      <c r="I11" s="6" t="s">
        <v>62</v>
      </c>
    </row>
    <row r="12" spans="2:9" ht="14" thickBot="1">
      <c r="B12" s="5">
        <f t="shared" si="0"/>
        <v>42004</v>
      </c>
      <c r="C12" s="7" t="s">
        <v>3</v>
      </c>
      <c r="D12" s="7" t="s">
        <v>11</v>
      </c>
      <c r="E12" s="396"/>
      <c r="H12" s="6" t="s">
        <v>41</v>
      </c>
      <c r="I12" s="6" t="s">
        <v>63</v>
      </c>
    </row>
    <row r="13" spans="2:9" ht="14" thickBot="1">
      <c r="B13" s="5">
        <f t="shared" si="0"/>
        <v>42005</v>
      </c>
      <c r="C13" s="6" t="s">
        <v>4</v>
      </c>
      <c r="D13" s="6" t="s">
        <v>12</v>
      </c>
      <c r="E13" s="396"/>
      <c r="H13" s="6" t="s">
        <v>42</v>
      </c>
      <c r="I13" s="6" t="s">
        <v>64</v>
      </c>
    </row>
    <row r="14" spans="2:9" ht="14" thickBot="1">
      <c r="B14" s="5">
        <f t="shared" si="0"/>
        <v>42006</v>
      </c>
      <c r="C14" s="6" t="s">
        <v>5</v>
      </c>
      <c r="D14" s="6" t="s">
        <v>9</v>
      </c>
      <c r="E14" s="396"/>
      <c r="H14" s="6" t="s">
        <v>43</v>
      </c>
      <c r="I14" s="6" t="s">
        <v>65</v>
      </c>
    </row>
    <row r="15" spans="2:9" ht="14" thickBot="1">
      <c r="B15" s="5">
        <f t="shared" si="0"/>
        <v>42007</v>
      </c>
      <c r="C15" s="6" t="s">
        <v>6</v>
      </c>
      <c r="D15" s="6" t="s">
        <v>13</v>
      </c>
      <c r="E15" s="396"/>
      <c r="H15" s="6" t="s">
        <v>44</v>
      </c>
      <c r="I15" s="6" t="s">
        <v>64</v>
      </c>
    </row>
    <row r="16" spans="2:9" ht="14" thickBot="1">
      <c r="B16" s="5">
        <f t="shared" si="0"/>
        <v>42008</v>
      </c>
      <c r="C16" s="7" t="s">
        <v>7</v>
      </c>
      <c r="D16" s="7" t="s">
        <v>14</v>
      </c>
      <c r="E16" s="396"/>
      <c r="H16" s="6" t="s">
        <v>45</v>
      </c>
      <c r="I16" s="6" t="s">
        <v>65</v>
      </c>
    </row>
    <row r="17" spans="2:12" ht="22" thickBot="1">
      <c r="B17" s="5">
        <f t="shared" si="0"/>
        <v>42009</v>
      </c>
      <c r="C17" s="6" t="s">
        <v>1</v>
      </c>
      <c r="D17" s="6" t="s">
        <v>9</v>
      </c>
      <c r="E17" s="396" t="s">
        <v>24</v>
      </c>
      <c r="H17" s="6" t="s">
        <v>46</v>
      </c>
      <c r="I17" s="13" t="s">
        <v>66</v>
      </c>
    </row>
    <row r="18" spans="2:12" ht="14" thickBot="1">
      <c r="B18" s="5">
        <f t="shared" si="0"/>
        <v>42010</v>
      </c>
      <c r="C18" s="6" t="s">
        <v>2</v>
      </c>
      <c r="D18" s="6" t="s">
        <v>15</v>
      </c>
      <c r="E18" s="396"/>
      <c r="H18" s="7" t="s">
        <v>47</v>
      </c>
      <c r="I18" s="7" t="s">
        <v>62</v>
      </c>
    </row>
    <row r="19" spans="2:12" ht="14" thickBot="1">
      <c r="B19" s="5">
        <f t="shared" si="0"/>
        <v>42011</v>
      </c>
      <c r="C19" s="7" t="s">
        <v>3</v>
      </c>
      <c r="D19" s="7" t="s">
        <v>11</v>
      </c>
      <c r="E19" s="396"/>
      <c r="H19" s="681" t="s">
        <v>48</v>
      </c>
      <c r="I19" s="681"/>
      <c r="L19" s="18" t="s">
        <v>645</v>
      </c>
    </row>
    <row r="20" spans="2:12" ht="14" thickBot="1">
      <c r="B20" s="5">
        <f t="shared" si="0"/>
        <v>42012</v>
      </c>
      <c r="C20" s="6" t="s">
        <v>4</v>
      </c>
      <c r="D20" s="6" t="s">
        <v>12</v>
      </c>
      <c r="E20" s="396"/>
      <c r="H20" s="7" t="s">
        <v>49</v>
      </c>
      <c r="I20" s="14" t="s">
        <v>67</v>
      </c>
    </row>
    <row r="21" spans="2:12" ht="14" thickBot="1">
      <c r="B21" s="5">
        <f t="shared" si="0"/>
        <v>42013</v>
      </c>
      <c r="C21" s="6" t="s">
        <v>5</v>
      </c>
      <c r="D21" s="6" t="s">
        <v>9</v>
      </c>
      <c r="E21" s="396"/>
      <c r="H21" s="6" t="s">
        <v>50</v>
      </c>
      <c r="I21" s="15" t="s">
        <v>68</v>
      </c>
    </row>
    <row r="22" spans="2:12" ht="14" thickBot="1">
      <c r="B22" s="5">
        <f t="shared" si="0"/>
        <v>42014</v>
      </c>
      <c r="C22" s="8" t="s">
        <v>6</v>
      </c>
      <c r="D22" s="8" t="s">
        <v>13</v>
      </c>
      <c r="E22" s="396"/>
      <c r="H22" s="7" t="s">
        <v>51</v>
      </c>
      <c r="I22" s="14" t="s">
        <v>69</v>
      </c>
    </row>
    <row r="23" spans="2:12" ht="14" thickBot="1">
      <c r="B23" s="5">
        <f t="shared" si="0"/>
        <v>42015</v>
      </c>
      <c r="C23" s="7" t="s">
        <v>7</v>
      </c>
      <c r="D23" s="7" t="s">
        <v>14</v>
      </c>
      <c r="E23" s="396"/>
      <c r="H23" s="681" t="s">
        <v>52</v>
      </c>
      <c r="I23" s="681"/>
      <c r="K23" s="257">
        <v>7.2916666666666671E-2</v>
      </c>
    </row>
    <row r="24" spans="2:12" ht="14" thickBot="1">
      <c r="B24" s="5">
        <f t="shared" si="0"/>
        <v>42016</v>
      </c>
      <c r="C24" s="6" t="s">
        <v>1</v>
      </c>
      <c r="D24" s="6" t="s">
        <v>9</v>
      </c>
      <c r="E24" s="396" t="s">
        <v>25</v>
      </c>
      <c r="H24" s="7" t="s">
        <v>53</v>
      </c>
      <c r="I24" s="7" t="s">
        <v>70</v>
      </c>
    </row>
    <row r="25" spans="2:12" ht="14" thickBot="1">
      <c r="B25" s="5">
        <f t="shared" si="0"/>
        <v>42017</v>
      </c>
      <c r="C25" s="6" t="s">
        <v>2</v>
      </c>
      <c r="D25" s="6" t="s">
        <v>16</v>
      </c>
      <c r="E25" s="396"/>
      <c r="H25" s="6" t="s">
        <v>54</v>
      </c>
      <c r="I25" s="6" t="s">
        <v>70</v>
      </c>
    </row>
    <row r="26" spans="2:12" ht="14" thickBot="1">
      <c r="B26" s="5">
        <f t="shared" si="0"/>
        <v>42018</v>
      </c>
      <c r="C26" s="7" t="s">
        <v>3</v>
      </c>
      <c r="D26" s="7" t="s">
        <v>11</v>
      </c>
      <c r="E26" s="396"/>
      <c r="H26" s="7" t="s">
        <v>55</v>
      </c>
      <c r="I26" s="7" t="s">
        <v>71</v>
      </c>
    </row>
    <row r="27" spans="2:12" ht="14" thickBot="1">
      <c r="B27" s="5">
        <f t="shared" si="0"/>
        <v>42019</v>
      </c>
      <c r="C27" s="6" t="s">
        <v>4</v>
      </c>
      <c r="D27" s="6" t="s">
        <v>12</v>
      </c>
      <c r="E27" s="396"/>
      <c r="H27" s="7" t="s">
        <v>56</v>
      </c>
      <c r="I27" s="7" t="s">
        <v>72</v>
      </c>
    </row>
    <row r="28" spans="2:12" ht="14" thickBot="1">
      <c r="B28" s="5">
        <f t="shared" si="0"/>
        <v>42020</v>
      </c>
      <c r="C28" s="6" t="s">
        <v>5</v>
      </c>
      <c r="D28" s="6" t="s">
        <v>9</v>
      </c>
      <c r="E28" s="396"/>
      <c r="H28" s="6" t="s">
        <v>57</v>
      </c>
      <c r="I28" s="6" t="s">
        <v>71</v>
      </c>
    </row>
    <row r="29" spans="2:12" ht="14" thickBot="1">
      <c r="B29" s="5">
        <f t="shared" si="0"/>
        <v>42021</v>
      </c>
      <c r="C29" s="6" t="s">
        <v>6</v>
      </c>
      <c r="D29" s="6" t="s">
        <v>13</v>
      </c>
      <c r="E29" s="396"/>
      <c r="H29" s="7" t="s">
        <v>58</v>
      </c>
      <c r="I29" s="7" t="s">
        <v>71</v>
      </c>
    </row>
    <row r="30" spans="2:12" ht="14" thickBot="1">
      <c r="B30" s="5">
        <f t="shared" si="0"/>
        <v>42022</v>
      </c>
      <c r="C30" s="7" t="s">
        <v>7</v>
      </c>
      <c r="D30" s="7" t="s">
        <v>17</v>
      </c>
      <c r="E30" s="396"/>
      <c r="H30" s="6" t="s">
        <v>59</v>
      </c>
      <c r="I30" s="6" t="s">
        <v>73</v>
      </c>
    </row>
    <row r="31" spans="2:12" ht="14" thickBot="1">
      <c r="B31" s="5">
        <f t="shared" si="0"/>
        <v>42023</v>
      </c>
      <c r="C31" s="6" t="s">
        <v>1</v>
      </c>
      <c r="D31" s="6" t="s">
        <v>9</v>
      </c>
      <c r="E31" s="396" t="s">
        <v>26</v>
      </c>
      <c r="H31" s="7" t="s">
        <v>60</v>
      </c>
      <c r="I31" s="7" t="s">
        <v>74</v>
      </c>
    </row>
    <row r="32" spans="2:12" ht="14" thickBot="1">
      <c r="B32" s="5">
        <f t="shared" si="0"/>
        <v>42024</v>
      </c>
      <c r="C32" s="7" t="s">
        <v>2</v>
      </c>
      <c r="D32" s="7" t="s">
        <v>11</v>
      </c>
      <c r="E32" s="396"/>
    </row>
    <row r="33" spans="2:5" ht="14" thickBot="1">
      <c r="B33" s="5">
        <f t="shared" si="0"/>
        <v>42025</v>
      </c>
      <c r="C33" s="6" t="s">
        <v>3</v>
      </c>
      <c r="D33" s="6" t="s">
        <v>18</v>
      </c>
      <c r="E33" s="396"/>
    </row>
    <row r="34" spans="2:5" ht="14" thickBot="1">
      <c r="B34" s="5">
        <f t="shared" si="0"/>
        <v>42026</v>
      </c>
      <c r="C34" s="6" t="s">
        <v>4</v>
      </c>
      <c r="D34" s="6" t="s">
        <v>11</v>
      </c>
      <c r="E34" s="396"/>
    </row>
    <row r="35" spans="2:5" ht="14" thickBot="1">
      <c r="B35" s="5">
        <f t="shared" si="0"/>
        <v>42027</v>
      </c>
      <c r="C35" s="6" t="s">
        <v>5</v>
      </c>
      <c r="D35" s="6" t="s">
        <v>9</v>
      </c>
      <c r="E35" s="396"/>
    </row>
    <row r="36" spans="2:5" ht="14" thickBot="1">
      <c r="B36" s="5">
        <f t="shared" si="0"/>
        <v>42028</v>
      </c>
      <c r="C36" s="7" t="s">
        <v>6</v>
      </c>
      <c r="D36" s="7" t="s">
        <v>19</v>
      </c>
      <c r="E36" s="396"/>
    </row>
    <row r="37" spans="2:5" ht="14" thickBot="1">
      <c r="B37" s="5">
        <f t="shared" si="0"/>
        <v>42029</v>
      </c>
      <c r="C37" s="7" t="s">
        <v>7</v>
      </c>
      <c r="D37" s="7" t="s">
        <v>11</v>
      </c>
      <c r="E37" s="396"/>
    </row>
    <row r="38" spans="2:5" ht="14" thickBot="1">
      <c r="B38" s="5">
        <f t="shared" si="0"/>
        <v>42030</v>
      </c>
      <c r="C38" s="6" t="s">
        <v>1</v>
      </c>
      <c r="D38" s="6" t="s">
        <v>9</v>
      </c>
      <c r="E38" s="396" t="s">
        <v>27</v>
      </c>
    </row>
    <row r="39" spans="2:5" ht="14" thickBot="1">
      <c r="B39" s="5">
        <f t="shared" si="0"/>
        <v>42031</v>
      </c>
      <c r="C39" s="6" t="s">
        <v>2</v>
      </c>
      <c r="D39" s="6" t="s">
        <v>20</v>
      </c>
      <c r="E39" s="396"/>
    </row>
    <row r="40" spans="2:5" ht="14" thickBot="1">
      <c r="B40" s="5">
        <f t="shared" si="0"/>
        <v>42032</v>
      </c>
      <c r="C40" s="7" t="s">
        <v>3</v>
      </c>
      <c r="D40" s="7" t="s">
        <v>11</v>
      </c>
      <c r="E40" s="396"/>
    </row>
    <row r="41" spans="2:5" ht="14" thickBot="1">
      <c r="B41" s="5">
        <f t="shared" si="0"/>
        <v>42033</v>
      </c>
      <c r="C41" s="6" t="s">
        <v>4</v>
      </c>
      <c r="D41" s="6" t="s">
        <v>13</v>
      </c>
      <c r="E41" s="396"/>
    </row>
    <row r="42" spans="2:5" ht="14" thickBot="1">
      <c r="B42" s="5">
        <f t="shared" si="0"/>
        <v>42034</v>
      </c>
      <c r="C42" s="6" t="s">
        <v>5</v>
      </c>
      <c r="D42" s="6" t="s">
        <v>9</v>
      </c>
      <c r="E42" s="396"/>
    </row>
    <row r="43" spans="2:5" ht="14" thickBot="1">
      <c r="B43" s="5">
        <f t="shared" si="0"/>
        <v>42035</v>
      </c>
      <c r="C43" s="6" t="s">
        <v>6</v>
      </c>
      <c r="D43" s="6" t="s">
        <v>21</v>
      </c>
      <c r="E43" s="396"/>
    </row>
    <row r="44" spans="2:5" ht="14" thickBot="1">
      <c r="B44" s="5">
        <f t="shared" si="0"/>
        <v>42036</v>
      </c>
      <c r="C44" s="7" t="s">
        <v>7</v>
      </c>
      <c r="D44" s="7" t="s">
        <v>14</v>
      </c>
      <c r="E44" s="396"/>
    </row>
    <row r="45" spans="2:5" ht="14" thickBot="1">
      <c r="B45" s="5">
        <f t="shared" si="0"/>
        <v>42037</v>
      </c>
      <c r="C45" s="6" t="s">
        <v>1</v>
      </c>
      <c r="D45" s="6" t="s">
        <v>9</v>
      </c>
      <c r="E45" s="396" t="s">
        <v>34</v>
      </c>
    </row>
    <row r="46" spans="2:5" ht="14" thickBot="1">
      <c r="B46" s="5">
        <f t="shared" si="0"/>
        <v>42038</v>
      </c>
      <c r="C46" s="6" t="s">
        <v>2</v>
      </c>
      <c r="D46" s="6" t="s">
        <v>13</v>
      </c>
      <c r="E46" s="396"/>
    </row>
    <row r="47" spans="2:5" ht="14" thickBot="1">
      <c r="B47" s="5">
        <f t="shared" si="0"/>
        <v>42039</v>
      </c>
      <c r="C47" s="7" t="s">
        <v>3</v>
      </c>
      <c r="D47" s="7" t="s">
        <v>11</v>
      </c>
      <c r="E47" s="396"/>
    </row>
    <row r="48" spans="2:5" ht="14" thickBot="1">
      <c r="B48" s="5">
        <f t="shared" si="0"/>
        <v>42040</v>
      </c>
      <c r="C48" s="6" t="s">
        <v>4</v>
      </c>
      <c r="D48" s="6" t="s">
        <v>21</v>
      </c>
      <c r="E48" s="396"/>
    </row>
    <row r="49" spans="2:5" ht="14" thickBot="1">
      <c r="B49" s="5">
        <f t="shared" si="0"/>
        <v>42041</v>
      </c>
      <c r="C49" s="6" t="s">
        <v>5</v>
      </c>
      <c r="D49" s="6" t="s">
        <v>9</v>
      </c>
      <c r="E49" s="396"/>
    </row>
    <row r="50" spans="2:5" ht="14" thickBot="1">
      <c r="B50" s="5">
        <f t="shared" si="0"/>
        <v>42042</v>
      </c>
      <c r="C50" s="6" t="s">
        <v>6</v>
      </c>
      <c r="D50" s="6" t="s">
        <v>13</v>
      </c>
      <c r="E50" s="396"/>
    </row>
    <row r="51" spans="2:5" ht="14" thickBot="1">
      <c r="B51" s="5">
        <f t="shared" si="0"/>
        <v>42043</v>
      </c>
      <c r="C51" s="7" t="s">
        <v>7</v>
      </c>
      <c r="D51" s="7" t="s">
        <v>14</v>
      </c>
      <c r="E51" s="396"/>
    </row>
    <row r="52" spans="2:5" ht="14" thickBot="1">
      <c r="B52" s="5">
        <f t="shared" si="0"/>
        <v>42044</v>
      </c>
      <c r="C52" s="6" t="s">
        <v>1</v>
      </c>
      <c r="D52" s="6" t="s">
        <v>9</v>
      </c>
      <c r="E52" s="396" t="s">
        <v>35</v>
      </c>
    </row>
    <row r="53" spans="2:5" ht="14" thickBot="1">
      <c r="B53" s="5">
        <f t="shared" si="0"/>
        <v>42045</v>
      </c>
      <c r="C53" s="6" t="s">
        <v>2</v>
      </c>
      <c r="D53" s="6" t="s">
        <v>28</v>
      </c>
      <c r="E53" s="396"/>
    </row>
    <row r="54" spans="2:5" ht="14" thickBot="1">
      <c r="B54" s="5">
        <f t="shared" si="0"/>
        <v>42046</v>
      </c>
      <c r="C54" s="7" t="s">
        <v>3</v>
      </c>
      <c r="D54" s="7" t="s">
        <v>11</v>
      </c>
      <c r="E54" s="396"/>
    </row>
    <row r="55" spans="2:5" ht="14" thickBot="1">
      <c r="B55" s="5">
        <f t="shared" si="0"/>
        <v>42047</v>
      </c>
      <c r="C55" s="6" t="s">
        <v>4</v>
      </c>
      <c r="D55" s="6" t="s">
        <v>13</v>
      </c>
      <c r="E55" s="396"/>
    </row>
    <row r="56" spans="2:5" ht="14" thickBot="1">
      <c r="B56" s="5">
        <f t="shared" si="0"/>
        <v>42048</v>
      </c>
      <c r="C56" s="6" t="s">
        <v>5</v>
      </c>
      <c r="D56" s="6" t="s">
        <v>9</v>
      </c>
      <c r="E56" s="396"/>
    </row>
    <row r="57" spans="2:5" ht="14" thickBot="1">
      <c r="B57" s="5">
        <f t="shared" si="0"/>
        <v>42049</v>
      </c>
      <c r="C57" s="6" t="s">
        <v>6</v>
      </c>
      <c r="D57" s="6" t="s">
        <v>29</v>
      </c>
      <c r="E57" s="396"/>
    </row>
    <row r="58" spans="2:5" ht="14" thickBot="1">
      <c r="B58" s="5">
        <f t="shared" si="0"/>
        <v>42050</v>
      </c>
      <c r="C58" s="7" t="s">
        <v>7</v>
      </c>
      <c r="D58" s="7" t="s">
        <v>17</v>
      </c>
      <c r="E58" s="396"/>
    </row>
    <row r="59" spans="2:5" ht="14" thickBot="1">
      <c r="B59" s="5">
        <f t="shared" si="0"/>
        <v>42051</v>
      </c>
      <c r="C59" s="6" t="s">
        <v>1</v>
      </c>
      <c r="D59" s="6" t="s">
        <v>9</v>
      </c>
      <c r="E59" s="396" t="s">
        <v>36</v>
      </c>
    </row>
    <row r="60" spans="2:5" ht="14" thickBot="1">
      <c r="B60" s="5">
        <f t="shared" si="0"/>
        <v>42052</v>
      </c>
      <c r="C60" s="7" t="s">
        <v>2</v>
      </c>
      <c r="D60" s="7" t="s">
        <v>11</v>
      </c>
      <c r="E60" s="396"/>
    </row>
    <row r="61" spans="2:5" ht="14" thickBot="1">
      <c r="B61" s="5">
        <f t="shared" si="0"/>
        <v>42053</v>
      </c>
      <c r="C61" s="6" t="s">
        <v>3</v>
      </c>
      <c r="D61" s="6" t="s">
        <v>30</v>
      </c>
      <c r="E61" s="396"/>
    </row>
    <row r="62" spans="2:5" ht="14" thickBot="1">
      <c r="B62" s="5">
        <f t="shared" si="0"/>
        <v>42054</v>
      </c>
      <c r="C62" s="6" t="s">
        <v>4</v>
      </c>
      <c r="D62" s="6" t="s">
        <v>11</v>
      </c>
      <c r="E62" s="396"/>
    </row>
    <row r="63" spans="2:5" ht="14" thickBot="1">
      <c r="B63" s="5">
        <f t="shared" si="0"/>
        <v>42055</v>
      </c>
      <c r="C63" s="6" t="s">
        <v>5</v>
      </c>
      <c r="D63" s="6" t="s">
        <v>9</v>
      </c>
      <c r="E63" s="396"/>
    </row>
    <row r="64" spans="2:5" ht="14" thickBot="1">
      <c r="B64" s="5">
        <f t="shared" si="0"/>
        <v>42056</v>
      </c>
      <c r="C64" s="6" t="s">
        <v>6</v>
      </c>
      <c r="D64" s="6" t="s">
        <v>13</v>
      </c>
      <c r="E64" s="396"/>
    </row>
    <row r="65" spans="1:5" ht="14" thickBot="1">
      <c r="B65" s="5">
        <f t="shared" si="0"/>
        <v>42057</v>
      </c>
      <c r="C65" s="7" t="s">
        <v>7</v>
      </c>
      <c r="D65" s="7" t="s">
        <v>11</v>
      </c>
      <c r="E65" s="396"/>
    </row>
    <row r="66" spans="1:5" ht="14" thickBot="1">
      <c r="B66" s="5">
        <f t="shared" si="0"/>
        <v>42058</v>
      </c>
      <c r="C66" s="6" t="s">
        <v>1</v>
      </c>
      <c r="D66" s="6" t="s">
        <v>9</v>
      </c>
      <c r="E66" s="396" t="s">
        <v>37</v>
      </c>
    </row>
    <row r="67" spans="1:5" ht="14" thickBot="1">
      <c r="B67" s="5">
        <f t="shared" si="0"/>
        <v>42059</v>
      </c>
      <c r="C67" s="6" t="s">
        <v>2</v>
      </c>
      <c r="D67" s="6" t="s">
        <v>31</v>
      </c>
      <c r="E67" s="396"/>
    </row>
    <row r="68" spans="1:5" ht="14" thickBot="1">
      <c r="B68" s="5">
        <f t="shared" si="0"/>
        <v>42060</v>
      </c>
      <c r="C68" s="6" t="s">
        <v>3</v>
      </c>
      <c r="D68" s="6" t="s">
        <v>11</v>
      </c>
      <c r="E68" s="396"/>
    </row>
    <row r="69" spans="1:5" ht="14" thickBot="1">
      <c r="B69" s="5">
        <f t="shared" si="0"/>
        <v>42061</v>
      </c>
      <c r="C69" s="6" t="s">
        <v>4</v>
      </c>
      <c r="D69" s="9" t="s">
        <v>32</v>
      </c>
      <c r="E69" s="396"/>
    </row>
    <row r="70" spans="1:5" ht="14" thickBot="1">
      <c r="B70" s="5">
        <f t="shared" si="0"/>
        <v>42062</v>
      </c>
      <c r="C70" s="6" t="s">
        <v>5</v>
      </c>
      <c r="D70" s="6" t="s">
        <v>9</v>
      </c>
      <c r="E70" s="396"/>
    </row>
    <row r="71" spans="1:5" ht="14" thickBot="1">
      <c r="B71" s="5">
        <f>B72-1</f>
        <v>42063</v>
      </c>
      <c r="C71" s="8" t="s">
        <v>6</v>
      </c>
      <c r="D71" s="10" t="s">
        <v>33</v>
      </c>
      <c r="E71" s="396"/>
    </row>
    <row r="72" spans="1:5" ht="14" thickBot="1">
      <c r="A72" s="2"/>
      <c r="B72" s="5">
        <v>42064</v>
      </c>
      <c r="C72" s="7" t="s">
        <v>7</v>
      </c>
      <c r="D72" s="1" t="s">
        <v>644</v>
      </c>
      <c r="E72" s="396"/>
    </row>
  </sheetData>
  <mergeCells count="12">
    <mergeCell ref="E66:E72"/>
    <mergeCell ref="B2:E2"/>
    <mergeCell ref="E10:E16"/>
    <mergeCell ref="E17:E23"/>
    <mergeCell ref="H19:I19"/>
    <mergeCell ref="H23:I23"/>
    <mergeCell ref="E24:E30"/>
    <mergeCell ref="E31:E37"/>
    <mergeCell ref="E38:E44"/>
    <mergeCell ref="E45:E51"/>
    <mergeCell ref="E52:E58"/>
    <mergeCell ref="E59:E6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8"/>
  <sheetViews>
    <sheetView showGridLines="0" workbookViewId="0">
      <selection activeCell="B2" sqref="B2:N2"/>
    </sheetView>
  </sheetViews>
  <sheetFormatPr baseColWidth="10" defaultRowHeight="12" x14ac:dyDescent="0"/>
  <cols>
    <col min="1" max="1" width="14.33203125" customWidth="1"/>
    <col min="2" max="2" width="21.5" style="3" customWidth="1"/>
    <col min="3" max="3" width="22.6640625" customWidth="1"/>
    <col min="4" max="4" width="22.5" bestFit="1" customWidth="1"/>
    <col min="5" max="5" width="14" customWidth="1"/>
    <col min="8" max="8" width="23" customWidth="1"/>
    <col min="9" max="9" width="17" customWidth="1"/>
  </cols>
  <sheetData>
    <row r="1" spans="2:14" ht="13" thickBot="1"/>
    <row r="2" spans="2:14" ht="23" customHeight="1" thickBot="1">
      <c r="B2" s="398" t="s">
        <v>76</v>
      </c>
      <c r="C2" s="399"/>
      <c r="D2" s="399"/>
      <c r="E2" s="399"/>
      <c r="F2" s="399"/>
      <c r="G2" s="399"/>
      <c r="H2" s="399"/>
      <c r="I2" s="399"/>
      <c r="J2" s="399"/>
      <c r="K2" s="399"/>
      <c r="L2" s="399"/>
      <c r="M2" s="399"/>
      <c r="N2" s="400"/>
    </row>
    <row r="5" spans="2:14" ht="13" thickBot="1">
      <c r="C5" s="23">
        <v>42005</v>
      </c>
      <c r="D5" s="23">
        <f>EDATE(C5,1)</f>
        <v>42036</v>
      </c>
      <c r="E5" s="23">
        <f t="shared" ref="E5:N5" si="0">EDATE(D5,1)</f>
        <v>42064</v>
      </c>
      <c r="F5" s="23">
        <f>EDATE(E5,1)</f>
        <v>42095</v>
      </c>
      <c r="G5" s="23">
        <f t="shared" si="0"/>
        <v>42125</v>
      </c>
      <c r="H5" s="23">
        <f t="shared" si="0"/>
        <v>42156</v>
      </c>
      <c r="I5" s="23">
        <f t="shared" si="0"/>
        <v>42186</v>
      </c>
      <c r="J5" s="23">
        <f t="shared" si="0"/>
        <v>42217</v>
      </c>
      <c r="K5" s="23">
        <f t="shared" si="0"/>
        <v>42248</v>
      </c>
      <c r="L5" s="23">
        <f t="shared" si="0"/>
        <v>42278</v>
      </c>
      <c r="M5" s="23">
        <f t="shared" si="0"/>
        <v>42309</v>
      </c>
      <c r="N5" s="23">
        <f t="shared" si="0"/>
        <v>42339</v>
      </c>
    </row>
    <row r="6" spans="2:14" ht="14" thickBot="1">
      <c r="B6" s="11" t="s">
        <v>104</v>
      </c>
      <c r="C6" s="22" t="str">
        <f>TEXT(C5,"mmm")</f>
        <v>janv</v>
      </c>
      <c r="D6" s="22" t="str">
        <f>TEXT(D5,"mmm")</f>
        <v>févr</v>
      </c>
      <c r="E6" s="22" t="str">
        <f t="shared" ref="E6" si="1">TEXT(E5,"mmm")</f>
        <v>mars</v>
      </c>
      <c r="F6" s="22" t="str">
        <f t="shared" ref="F6" si="2">TEXT(F5,"mmm")</f>
        <v>avr</v>
      </c>
      <c r="G6" s="22" t="str">
        <f t="shared" ref="G6" si="3">TEXT(G5,"mmm")</f>
        <v>mai</v>
      </c>
      <c r="H6" s="22" t="str">
        <f t="shared" ref="H6" si="4">TEXT(H5,"mmm")</f>
        <v>juin</v>
      </c>
      <c r="I6" s="22" t="str">
        <f t="shared" ref="I6" si="5">TEXT(I5,"mmm")</f>
        <v>juil</v>
      </c>
      <c r="J6" s="22" t="str">
        <f t="shared" ref="J6" si="6">TEXT(J5,"mmm")</f>
        <v>août</v>
      </c>
      <c r="K6" s="22" t="str">
        <f t="shared" ref="K6" si="7">TEXT(K5,"mmm")</f>
        <v>sept</v>
      </c>
      <c r="L6" s="22" t="str">
        <f t="shared" ref="L6" si="8">TEXT(L5,"mmm")</f>
        <v>oct</v>
      </c>
      <c r="M6" s="22" t="str">
        <f t="shared" ref="M6" si="9">TEXT(M5,"mmm")</f>
        <v>nov</v>
      </c>
      <c r="N6" s="22" t="str">
        <f t="shared" ref="N6" si="10">TEXT(N5,"mmm")</f>
        <v>déc</v>
      </c>
    </row>
    <row r="7" spans="2:14" ht="13" thickBot="1">
      <c r="B7" s="4"/>
      <c r="C7" s="24"/>
      <c r="D7" s="24"/>
      <c r="E7" s="24"/>
      <c r="F7" s="24"/>
      <c r="G7" s="24"/>
      <c r="H7" s="24"/>
      <c r="I7" s="24"/>
      <c r="J7" s="24"/>
      <c r="K7" s="24"/>
      <c r="L7" s="24"/>
      <c r="M7" s="24"/>
      <c r="N7" s="24"/>
    </row>
    <row r="8" spans="2:14" ht="13" thickBot="1">
      <c r="B8" s="4" t="s">
        <v>105</v>
      </c>
      <c r="C8" s="24"/>
      <c r="D8" s="24"/>
      <c r="E8" s="24"/>
      <c r="F8" s="24"/>
      <c r="G8" s="24"/>
      <c r="H8" s="24"/>
      <c r="I8" s="24"/>
      <c r="J8" s="24"/>
      <c r="K8" s="24"/>
      <c r="L8" s="24"/>
      <c r="M8" s="24"/>
      <c r="N8" s="24"/>
    </row>
    <row r="9" spans="2:14" ht="13" thickBot="1">
      <c r="B9" s="4"/>
      <c r="C9" s="24"/>
      <c r="D9" s="24"/>
      <c r="E9" s="24"/>
      <c r="F9" s="24"/>
      <c r="G9" s="24"/>
      <c r="H9" s="24"/>
      <c r="I9" s="24"/>
      <c r="J9" s="24"/>
      <c r="K9" s="24"/>
      <c r="L9" s="24"/>
      <c r="M9" s="24"/>
      <c r="N9" s="24"/>
    </row>
    <row r="10" spans="2:14" ht="13" thickBot="1">
      <c r="B10" s="4" t="s">
        <v>106</v>
      </c>
      <c r="C10" s="24"/>
      <c r="D10" s="24"/>
      <c r="E10" s="25" t="s">
        <v>110</v>
      </c>
      <c r="F10" s="24"/>
      <c r="G10" s="24"/>
      <c r="H10" s="24"/>
      <c r="I10" s="24"/>
      <c r="J10" s="24"/>
      <c r="K10" s="24"/>
      <c r="L10" s="24"/>
      <c r="M10" s="24"/>
      <c r="N10" s="24"/>
    </row>
    <row r="11" spans="2:14" ht="13" thickBot="1">
      <c r="B11" s="4"/>
      <c r="C11" s="24"/>
      <c r="D11" s="24"/>
      <c r="E11" s="24"/>
      <c r="F11" s="24"/>
      <c r="G11" s="24"/>
      <c r="H11" s="24"/>
      <c r="I11" s="24"/>
      <c r="J11" s="24"/>
      <c r="K11" s="24"/>
      <c r="L11" s="24"/>
      <c r="M11" s="24"/>
      <c r="N11" s="24"/>
    </row>
    <row r="12" spans="2:14" ht="13" thickBot="1">
      <c r="B12" s="4" t="s">
        <v>107</v>
      </c>
      <c r="C12" s="25" t="s">
        <v>115</v>
      </c>
      <c r="D12" s="25" t="s">
        <v>115</v>
      </c>
      <c r="E12" s="24"/>
      <c r="F12" s="24"/>
      <c r="G12" s="24"/>
      <c r="H12" s="24"/>
      <c r="I12" s="24"/>
      <c r="J12" s="24"/>
      <c r="K12" s="24"/>
      <c r="L12" s="24"/>
      <c r="M12" s="24"/>
      <c r="N12" s="24"/>
    </row>
    <row r="13" spans="2:14" ht="13" thickBot="1">
      <c r="B13" s="24"/>
      <c r="C13" s="24"/>
      <c r="D13" s="24"/>
      <c r="E13" s="24"/>
      <c r="F13" s="24"/>
      <c r="G13" s="24"/>
      <c r="H13" s="24"/>
      <c r="I13" s="24"/>
      <c r="J13" s="24"/>
      <c r="K13" s="24"/>
      <c r="L13" s="24"/>
      <c r="M13" s="24"/>
      <c r="N13" s="24"/>
    </row>
    <row r="14" spans="2:14">
      <c r="B14"/>
    </row>
    <row r="15" spans="2:14">
      <c r="B15"/>
    </row>
    <row r="16" spans="2:14">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sheetData>
  <mergeCells count="1">
    <mergeCell ref="B2: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2"/>
  <sheetViews>
    <sheetView showGridLines="0" workbookViewId="0">
      <selection activeCell="H7" sqref="H7"/>
    </sheetView>
  </sheetViews>
  <sheetFormatPr baseColWidth="10" defaultRowHeight="12" x14ac:dyDescent="0"/>
  <cols>
    <col min="1" max="1" width="2.6640625" customWidth="1"/>
    <col min="2" max="2" width="13.1640625" style="235" bestFit="1" customWidth="1"/>
    <col min="3" max="4" width="8.1640625" style="3" bestFit="1" customWidth="1"/>
    <col min="5" max="5" width="9" customWidth="1"/>
    <col min="6" max="6" width="59.1640625" bestFit="1" customWidth="1"/>
    <col min="7" max="7" width="6.5" style="221" customWidth="1"/>
    <col min="8" max="9" width="10.6640625" bestFit="1" customWidth="1"/>
    <col min="10" max="10" width="15.1640625" bestFit="1" customWidth="1"/>
    <col min="11" max="11" width="22" bestFit="1" customWidth="1"/>
    <col min="12" max="12" width="10.5" customWidth="1"/>
    <col min="13" max="13" width="11" bestFit="1" customWidth="1"/>
    <col min="14" max="14" width="13" bestFit="1" customWidth="1"/>
    <col min="15" max="15" width="17.5" bestFit="1" customWidth="1"/>
    <col min="16" max="16" width="12.6640625" customWidth="1"/>
    <col min="17" max="19" width="17.5" customWidth="1"/>
    <col min="21" max="21" width="68.6640625" customWidth="1"/>
    <col min="22" max="22" width="10.83203125" style="3"/>
  </cols>
  <sheetData>
    <row r="1" spans="2:22" ht="13" thickBot="1"/>
    <row r="2" spans="2:22" ht="23" customHeight="1" thickTop="1" thickBot="1">
      <c r="B2" s="386" t="s">
        <v>364</v>
      </c>
      <c r="C2" s="387"/>
      <c r="D2" s="387"/>
      <c r="E2" s="387"/>
      <c r="F2" s="387"/>
      <c r="G2" s="387"/>
      <c r="H2" s="387"/>
      <c r="I2" s="387"/>
      <c r="J2" s="387"/>
      <c r="K2" s="387"/>
      <c r="L2" s="387"/>
      <c r="M2" s="387"/>
      <c r="N2" s="387"/>
      <c r="O2" s="387"/>
      <c r="P2" s="387"/>
      <c r="Q2" s="387"/>
      <c r="R2" s="387"/>
      <c r="S2" s="388"/>
      <c r="U2" s="382" t="s">
        <v>256</v>
      </c>
    </row>
    <row r="3" spans="2:22" ht="14" thickTop="1" thickBot="1">
      <c r="U3" s="382"/>
    </row>
    <row r="4" spans="2:22" ht="30" customHeight="1" thickTop="1" thickBot="1">
      <c r="B4" s="236"/>
      <c r="C4" s="219"/>
      <c r="D4" s="219"/>
      <c r="E4" s="219"/>
      <c r="F4" s="219"/>
      <c r="G4" s="222"/>
      <c r="H4" s="383" t="s">
        <v>484</v>
      </c>
      <c r="I4" s="384"/>
      <c r="J4" s="384"/>
      <c r="K4" s="385"/>
      <c r="L4" s="383" t="s">
        <v>485</v>
      </c>
      <c r="M4" s="384"/>
      <c r="N4" s="384"/>
      <c r="O4" s="385"/>
      <c r="P4" s="383" t="s">
        <v>496</v>
      </c>
      <c r="Q4" s="384"/>
      <c r="R4" s="384"/>
      <c r="S4" s="385"/>
      <c r="U4" s="382"/>
    </row>
    <row r="5" spans="2:22" ht="37" thickBot="1">
      <c r="B5" s="236" t="s">
        <v>240</v>
      </c>
      <c r="C5" s="191" t="s">
        <v>246</v>
      </c>
      <c r="D5" s="191" t="s">
        <v>252</v>
      </c>
      <c r="E5" s="20" t="s">
        <v>248</v>
      </c>
      <c r="F5" s="20" t="s">
        <v>365</v>
      </c>
      <c r="G5" s="223" t="s">
        <v>248</v>
      </c>
      <c r="H5" s="220" t="s">
        <v>253</v>
      </c>
      <c r="I5" s="220" t="s">
        <v>254</v>
      </c>
      <c r="J5" s="220" t="s">
        <v>255</v>
      </c>
      <c r="K5" s="220" t="s">
        <v>384</v>
      </c>
      <c r="L5" s="220" t="s">
        <v>253</v>
      </c>
      <c r="M5" s="220" t="s">
        <v>254</v>
      </c>
      <c r="N5" s="220" t="s">
        <v>255</v>
      </c>
      <c r="O5" s="220" t="s">
        <v>486</v>
      </c>
      <c r="P5" s="220" t="s">
        <v>497</v>
      </c>
      <c r="Q5" s="220" t="s">
        <v>253</v>
      </c>
      <c r="R5" s="220" t="s">
        <v>254</v>
      </c>
      <c r="S5" s="220" t="s">
        <v>255</v>
      </c>
      <c r="U5" s="382"/>
    </row>
    <row r="6" spans="2:22" ht="16" thickBot="1">
      <c r="B6" s="237">
        <v>42040</v>
      </c>
      <c r="C6" s="124">
        <f>WEEKNUM($B6)</f>
        <v>6</v>
      </c>
      <c r="D6" s="124">
        <f>MONTH(B6)</f>
        <v>2</v>
      </c>
      <c r="E6" s="28">
        <v>11</v>
      </c>
      <c r="F6" s="27" t="s">
        <v>366</v>
      </c>
      <c r="G6" s="124"/>
      <c r="H6" s="28" t="str">
        <f>CONCATENATE(SUMIF($C$6:$C6,$C6,$E$6:$E$370)," / ",SUMIF($C$6:$C$370,$C6,$E$6:$E$370))</f>
        <v>11 / 44</v>
      </c>
      <c r="I6" s="28" t="str">
        <f>CONCATENATE(SUMIF($D$6:$D6,$D6,$E$6:$E$370)," / ",SUMIF($D$6:$D$370,$D6,$E$6:$E$370))</f>
        <v>11 / 220</v>
      </c>
      <c r="J6" s="28" t="str">
        <f>CONCATENATE(SUM($E$6:$E6)," / ",SUM($E$6:$E$370))</f>
        <v>11 / 2271</v>
      </c>
      <c r="K6" s="24" t="s">
        <v>382</v>
      </c>
      <c r="L6" s="28" t="str">
        <f>CONCATENATE(SUMIF($C$6:$C6,$C6,$G$6:$G$370)," / ",SUMIF($C$6:$C$370,$C6,$G$6:$G$370))</f>
        <v>0 / 0</v>
      </c>
      <c r="M6" s="28" t="str">
        <f>CONCATENATE(SUMIF($D$6:$D6,$D6,$G$6:$G$370)," / ",SUMIF($D$6:$D$370,$D6,$G$6:$G$370))</f>
        <v>0 / 0</v>
      </c>
      <c r="N6" s="28" t="str">
        <f>CONCATENATE(SUM($G$6:$G6)," / ",SUM($G$6:$G$370))</f>
        <v>0 / 2244,5</v>
      </c>
      <c r="O6" s="24"/>
      <c r="P6" s="224">
        <v>0</v>
      </c>
      <c r="Q6" s="28" t="str">
        <f>CONCATENATE(SUMIF($C$6:$C6,C6,$P$6:$P$370)," / ",SUMIF($C$6:$C$370,C6,$P$6:$P$370))</f>
        <v>0 / 0</v>
      </c>
      <c r="R6" s="28" t="str">
        <f>CONCATENATE(SUMIF($D$6:$D6,$D6,$P$6:$P$370)," / ",SUMIF($D$6:$D$370,$D6,$P$6:$P$370))</f>
        <v>0 / 0</v>
      </c>
      <c r="S6" s="28" t="str">
        <f>CONCATENATE(SUM($P$6:$P6)," / ",SUM($P$6:$P$370))</f>
        <v>0 / 30850</v>
      </c>
      <c r="T6" s="392"/>
      <c r="U6" s="393"/>
      <c r="V6" s="394"/>
    </row>
    <row r="7" spans="2:22" ht="13" thickBot="1">
      <c r="B7" s="238">
        <f>B6+1</f>
        <v>42041</v>
      </c>
      <c r="C7" s="124">
        <f t="shared" ref="C7:C70" si="0">WEEKNUM($B7)</f>
        <v>6</v>
      </c>
      <c r="D7" s="124">
        <f t="shared" ref="D7:D69" si="1">MONTH(B7)</f>
        <v>2</v>
      </c>
      <c r="E7" s="28">
        <v>15</v>
      </c>
      <c r="F7" s="27" t="s">
        <v>368</v>
      </c>
      <c r="G7" s="124"/>
      <c r="H7" s="28" t="str">
        <f>CONCATENATE(SUMIF($C$6:$C7,C7,$E$6:$E$370)," / ",SUMIF($C$6:$C$370,C7,$E$6:$E$370))</f>
        <v>26 / 44</v>
      </c>
      <c r="I7" s="28" t="str">
        <f>CONCATENATE(SUMIF($D$6:$D7,D7,$E$6:$E$370)," / ",SUMIF($D$6:$D$370,D7,$E$6:$E$370))</f>
        <v>26 / 220</v>
      </c>
      <c r="J7" s="28" t="str">
        <f>CONCATENATE(SUM($E$6:$E7)," / ",SUM($E$6:$E$370))</f>
        <v>26 / 2271</v>
      </c>
      <c r="K7" s="24" t="s">
        <v>380</v>
      </c>
      <c r="L7" s="28" t="str">
        <f>CONCATENATE(SUMIF($C$6:$C7,C7,$G$6:$G$370)," / ",SUMIF($C$6:$C$370,C7,$G$6:$G$370))</f>
        <v>0 / 0</v>
      </c>
      <c r="M7" s="28" t="str">
        <f>CONCATENATE(SUMIF($D$6:$D7,D7,$G$6:$G$370)," / ",SUMIF($D$6:$D$370,D7,$G$6:$G$370))</f>
        <v>0 / 0</v>
      </c>
      <c r="N7" s="28" t="str">
        <f>CONCATENATE(SUM($G$6:$G7)," / ",SUM($G$6:$G$370))</f>
        <v>0 / 2244,5</v>
      </c>
      <c r="O7" s="24"/>
      <c r="P7" s="224">
        <v>0</v>
      </c>
      <c r="Q7" s="28" t="str">
        <f>CONCATENATE(SUMIF($C$6:$C7,C7,$P$6:$P$370)," / ",SUMIF($C$6:$C$370,C7,$P$6:$P$370))</f>
        <v>0 / 0</v>
      </c>
      <c r="R7" s="28" t="str">
        <f>CONCATENATE(SUMIF($D$6:$D7,$D7,$P$6:$P$370)," / ",SUMIF($D$6:$D$370,$D7,$P$6:$P$370))</f>
        <v>0 / 0</v>
      </c>
      <c r="S7" s="28" t="str">
        <f>CONCATENATE(SUM($P$6:$P7)," / ",SUM($P$6:$P$370))</f>
        <v>0 / 30850</v>
      </c>
    </row>
    <row r="8" spans="2:22" ht="16" thickBot="1">
      <c r="B8" s="239">
        <f t="shared" ref="B8:B71" si="2">B7+1</f>
        <v>42042</v>
      </c>
      <c r="C8" s="193">
        <f t="shared" si="0"/>
        <v>6</v>
      </c>
      <c r="D8" s="193">
        <f t="shared" si="1"/>
        <v>2</v>
      </c>
      <c r="E8" s="194">
        <v>18</v>
      </c>
      <c r="F8" s="195" t="s">
        <v>367</v>
      </c>
      <c r="G8" s="193"/>
      <c r="H8" s="194" t="str">
        <f>CONCATENATE(SUMIF($C$6:$C8,C8,$E$6:$E$370)," / ",SUMIF($C$6:$C$370,C8,$E$6:$E$370))</f>
        <v>44 / 44</v>
      </c>
      <c r="I8" s="194" t="str">
        <f>CONCATENATE(SUMIF($D$6:$D8,D8,$E$6:$E$370)," / ",SUMIF($D$6:$D$370,D8,$E$6:$E$370))</f>
        <v>44 / 220</v>
      </c>
      <c r="J8" s="194" t="str">
        <f>CONCATENATE(SUM($E$6:$E8)," / ",SUM($E$6:$E$370))</f>
        <v>44 / 2271</v>
      </c>
      <c r="K8" s="196" t="s">
        <v>382</v>
      </c>
      <c r="L8" s="28" t="str">
        <f>CONCATENATE(SUMIF($C$6:$C8,C8,$G$6:$G$370)," / ",SUMIF($C$6:$C$370,C8,$G$6:$G$370))</f>
        <v>0 / 0</v>
      </c>
      <c r="M8" s="28" t="str">
        <f>CONCATENATE(SUMIF($D$6:$D8,D8,$G$6:$G$370)," / ",SUMIF($D$6:$D$370,D8,$G$6:$G$370))</f>
        <v>0 / 0</v>
      </c>
      <c r="N8" s="28" t="str">
        <f>CONCATENATE(SUM($G$6:$G8)," / ",SUM($G$6:$G$370))</f>
        <v>0 / 2244,5</v>
      </c>
      <c r="O8" s="24"/>
      <c r="P8" s="224">
        <v>0</v>
      </c>
      <c r="Q8" s="28" t="str">
        <f>CONCATENATE(SUMIF($C$6:$C8,C8,$P$6:$P$370)," / ",SUMIF($C$6:$C$370,C8,$P$6:$P$370))</f>
        <v>0 / 0</v>
      </c>
      <c r="R8" s="28" t="str">
        <f>CONCATENATE(SUMIF($D$6:$D8,$D8,$P$6:$P$370)," / ",SUMIF($D$6:$D$370,$D8,$P$6:$P$370))</f>
        <v>0 / 0</v>
      </c>
      <c r="S8" s="28" t="str">
        <f>CONCATENATE(SUM($P$6:$P8)," / ",SUM($P$6:$P$370))</f>
        <v>0 / 30850</v>
      </c>
    </row>
    <row r="9" spans="2:22" ht="13" thickBot="1">
      <c r="B9" s="238">
        <f t="shared" si="2"/>
        <v>42043</v>
      </c>
      <c r="C9" s="124">
        <f t="shared" si="0"/>
        <v>7</v>
      </c>
      <c r="D9" s="124">
        <f t="shared" si="1"/>
        <v>2</v>
      </c>
      <c r="E9" s="28">
        <v>8</v>
      </c>
      <c r="F9" s="27" t="s">
        <v>373</v>
      </c>
      <c r="G9" s="124"/>
      <c r="H9" s="28" t="str">
        <f>CONCATENATE(SUMIF($C$6:$C9,C9,$E$6:$E$370)," / ",SUMIF($C$6:$C$370,C9,$E$6:$E$370))</f>
        <v>8 / 60</v>
      </c>
      <c r="I9" s="28" t="str">
        <f>CONCATENATE(SUMIF($D$6:$D9,D9,$E$6:$E$370)," / ",SUMIF($D$6:$D$370,D9,$E$6:$E$370))</f>
        <v>52 / 220</v>
      </c>
      <c r="J9" s="28" t="str">
        <f>CONCATENATE(SUM($E$6:$E9)," / ",SUM($E$6:$E$370))</f>
        <v>52 / 2271</v>
      </c>
      <c r="K9" s="24" t="s">
        <v>382</v>
      </c>
      <c r="L9" s="28" t="str">
        <f>CONCATENATE(SUMIF($C$6:$C9,C9,$G$6:$G$370)," / ",SUMIF($C$6:$C$370,C9,$G$6:$G$370))</f>
        <v>0 / 0</v>
      </c>
      <c r="M9" s="28" t="str">
        <f>CONCATENATE(SUMIF($D$6:$D9,D9,$G$6:$G$370)," / ",SUMIF($D$6:$D$370,D9,$G$6:$G$370))</f>
        <v>0 / 0</v>
      </c>
      <c r="N9" s="28" t="str">
        <f>CONCATENATE(SUM($G$6:$G9)," / ",SUM($G$6:$G$370))</f>
        <v>0 / 2244,5</v>
      </c>
      <c r="O9" s="24"/>
      <c r="P9" s="224">
        <v>0</v>
      </c>
      <c r="Q9" s="28" t="str">
        <f>CONCATENATE(SUMIF($C$6:$C9,C9,$P$6:$P$370)," / ",SUMIF($C$6:$C$370,C9,$P$6:$P$370))</f>
        <v>0 / 0</v>
      </c>
      <c r="R9" s="28" t="str">
        <f>CONCATENATE(SUMIF($D$6:$D9,$D9,$P$6:$P$370)," / ",SUMIF($D$6:$D$370,$D9,$P$6:$P$370))</f>
        <v>0 / 0</v>
      </c>
      <c r="S9" s="28" t="str">
        <f>CONCATENATE(SUM($P$6:$P9)," / ",SUM($P$6:$P$370))</f>
        <v>0 / 30850</v>
      </c>
    </row>
    <row r="10" spans="2:22" ht="13" thickBot="1">
      <c r="B10" s="238">
        <f t="shared" si="2"/>
        <v>42044</v>
      </c>
      <c r="C10" s="124">
        <f t="shared" si="0"/>
        <v>7</v>
      </c>
      <c r="D10" s="124">
        <f t="shared" si="1"/>
        <v>2</v>
      </c>
      <c r="E10" s="28">
        <v>14</v>
      </c>
      <c r="F10" s="27" t="s">
        <v>375</v>
      </c>
      <c r="G10" s="124"/>
      <c r="H10" s="28" t="str">
        <f>CONCATENATE(SUMIF($C$6:$C10,C10,$E$6:$E$370)," / ",SUMIF($C$6:$C$370,C10,$E$6:$E$370))</f>
        <v>22 / 60</v>
      </c>
      <c r="I10" s="28" t="str">
        <f>CONCATENATE(SUMIF($D$6:$D10,D10,$E$6:$E$370)," / ",SUMIF($D$6:$D$370,D10,$E$6:$E$370))</f>
        <v>66 / 220</v>
      </c>
      <c r="J10" s="28" t="str">
        <f>CONCATENATE(SUM($E$6:$E10)," / ",SUM($E$6:$E$370))</f>
        <v>66 / 2271</v>
      </c>
      <c r="K10" s="24" t="s">
        <v>382</v>
      </c>
      <c r="L10" s="28" t="str">
        <f>CONCATENATE(SUMIF($C$6:$C10,C10,$G$6:$G$370)," / ",SUMIF($C$6:$C$370,C10,$G$6:$G$370))</f>
        <v>0 / 0</v>
      </c>
      <c r="M10" s="28" t="str">
        <f>CONCATENATE(SUMIF($D$6:$D10,D10,$G$6:$G$370)," / ",SUMIF($D$6:$D$370,D10,$G$6:$G$370))</f>
        <v>0 / 0</v>
      </c>
      <c r="N10" s="28" t="str">
        <f>CONCATENATE(SUM($G$6:$G10)," / ",SUM($G$6:$G$370))</f>
        <v>0 / 2244,5</v>
      </c>
      <c r="O10" s="24"/>
      <c r="P10" s="224">
        <v>0</v>
      </c>
      <c r="Q10" s="28" t="str">
        <f>CONCATENATE(SUMIF($C$6:$C10,C10,$P$6:$P$370)," / ",SUMIF($C$6:$C$370,C10,$P$6:$P$370))</f>
        <v>0 / 0</v>
      </c>
      <c r="R10" s="28" t="str">
        <f>CONCATENATE(SUMIF($D$6:$D10,$D10,$P$6:$P$370)," / ",SUMIF($D$6:$D$370,$D10,$P$6:$P$370))</f>
        <v>0 / 0</v>
      </c>
      <c r="S10" s="28" t="str">
        <f>CONCATENATE(SUM($P$6:$P10)," / ",SUM($P$6:$P$370))</f>
        <v>0 / 30850</v>
      </c>
    </row>
    <row r="11" spans="2:22" ht="13" thickBot="1">
      <c r="B11" s="238">
        <f t="shared" si="2"/>
        <v>42045</v>
      </c>
      <c r="C11" s="124">
        <f t="shared" si="0"/>
        <v>7</v>
      </c>
      <c r="D11" s="124">
        <f t="shared" si="1"/>
        <v>2</v>
      </c>
      <c r="E11" s="28">
        <v>0</v>
      </c>
      <c r="F11" s="192"/>
      <c r="G11" s="124"/>
      <c r="H11" s="28" t="str">
        <f>CONCATENATE(SUMIF($C$6:$C11,C11,$E$6:$E$370)," / ",SUMIF($C$6:$C$370,C11,$E$6:$E$370))</f>
        <v>22 / 60</v>
      </c>
      <c r="I11" s="28" t="str">
        <f>CONCATENATE(SUMIF($D$6:$D11,D11,$E$6:$E$370)," / ",SUMIF($D$6:$D$370,D11,$E$6:$E$370))</f>
        <v>66 / 220</v>
      </c>
      <c r="J11" s="28" t="str">
        <f>CONCATENATE(SUM($E$6:$E11)," / ",SUM($E$6:$E$370))</f>
        <v>66 / 2271</v>
      </c>
      <c r="K11" s="24"/>
      <c r="L11" s="28" t="str">
        <f>CONCATENATE(SUMIF($C$6:$C11,C11,$G$6:$G$370)," / ",SUMIF($C$6:$C$370,C11,$G$6:$G$370))</f>
        <v>0 / 0</v>
      </c>
      <c r="M11" s="28" t="str">
        <f>CONCATENATE(SUMIF($D$6:$D11,D11,$G$6:$G$370)," / ",SUMIF($D$6:$D$370,D11,$G$6:$G$370))</f>
        <v>0 / 0</v>
      </c>
      <c r="N11" s="28" t="str">
        <f>CONCATENATE(SUM($G$6:$G11)," / ",SUM($G$6:$G$370))</f>
        <v>0 / 2244,5</v>
      </c>
      <c r="O11" s="24"/>
      <c r="P11" s="224">
        <v>0</v>
      </c>
      <c r="Q11" s="28" t="str">
        <f>CONCATENATE(SUMIF($C$6:$C11,C11,$P$6:$P$370)," / ",SUMIF($C$6:$C$370,C11,$P$6:$P$370))</f>
        <v>0 / 0</v>
      </c>
      <c r="R11" s="28" t="str">
        <f>CONCATENATE(SUMIF($D$6:$D11,$D11,$P$6:$P$370)," / ",SUMIF($D$6:$D$370,$D11,$P$6:$P$370))</f>
        <v>0 / 0</v>
      </c>
      <c r="S11" s="28" t="str">
        <f>CONCATENATE(SUM($P$6:$P11)," / ",SUM($P$6:$P$370))</f>
        <v>0 / 30850</v>
      </c>
    </row>
    <row r="12" spans="2:22" ht="13" thickBot="1">
      <c r="B12" s="238">
        <f t="shared" si="2"/>
        <v>42046</v>
      </c>
      <c r="C12" s="124">
        <f t="shared" si="0"/>
        <v>7</v>
      </c>
      <c r="D12" s="124">
        <f t="shared" si="1"/>
        <v>2</v>
      </c>
      <c r="E12" s="28">
        <v>20</v>
      </c>
      <c r="F12" s="27" t="s">
        <v>371</v>
      </c>
      <c r="G12" s="124"/>
      <c r="H12" s="28" t="str">
        <f>CONCATENATE(SUMIF($C$6:$C12,C12,$E$6:$E$370)," / ",SUMIF($C$6:$C$370,C12,$E$6:$E$370))</f>
        <v>42 / 60</v>
      </c>
      <c r="I12" s="28" t="str">
        <f>CONCATENATE(SUMIF($D$6:$D12,D12,$E$6:$E$370)," / ",SUMIF($D$6:$D$370,D12,$E$6:$E$370))</f>
        <v>86 / 220</v>
      </c>
      <c r="J12" s="28" t="str">
        <f>CONCATENATE(SUM($E$6:$E12)," / ",SUM($E$6:$E$370))</f>
        <v>86 / 2271</v>
      </c>
      <c r="K12" s="24" t="s">
        <v>382</v>
      </c>
      <c r="L12" s="28" t="str">
        <f>CONCATENATE(SUMIF($C$6:$C12,C12,$G$6:$G$370)," / ",SUMIF($C$6:$C$370,C12,$G$6:$G$370))</f>
        <v>0 / 0</v>
      </c>
      <c r="M12" s="28" t="str">
        <f>CONCATENATE(SUMIF($D$6:$D12,D12,$G$6:$G$370)," / ",SUMIF($D$6:$D$370,D12,$G$6:$G$370))</f>
        <v>0 / 0</v>
      </c>
      <c r="N12" s="28" t="str">
        <f>CONCATENATE(SUM($G$6:$G12)," / ",SUM($G$6:$G$370))</f>
        <v>0 / 2244,5</v>
      </c>
      <c r="O12" s="24"/>
      <c r="P12" s="224">
        <v>0</v>
      </c>
      <c r="Q12" s="28" t="str">
        <f>CONCATENATE(SUMIF($C$6:$C12,C12,$P$6:$P$370)," / ",SUMIF($C$6:$C$370,C12,$P$6:$P$370))</f>
        <v>0 / 0</v>
      </c>
      <c r="R12" s="28" t="str">
        <f>CONCATENATE(SUMIF($D$6:$D12,$D12,$P$6:$P$370)," / ",SUMIF($D$6:$D$370,$D12,$P$6:$P$370))</f>
        <v>0 / 0</v>
      </c>
      <c r="S12" s="28" t="str">
        <f>CONCATENATE(SUM($P$6:$P12)," / ",SUM($P$6:$P$370))</f>
        <v>0 / 30850</v>
      </c>
    </row>
    <row r="13" spans="2:22" ht="13" thickBot="1">
      <c r="B13" s="238">
        <f t="shared" si="2"/>
        <v>42047</v>
      </c>
      <c r="C13" s="124">
        <f t="shared" si="0"/>
        <v>7</v>
      </c>
      <c r="D13" s="124">
        <f t="shared" si="1"/>
        <v>2</v>
      </c>
      <c r="E13" s="28">
        <v>0</v>
      </c>
      <c r="F13" s="192"/>
      <c r="G13" s="124"/>
      <c r="H13" s="28" t="str">
        <f>CONCATENATE(SUMIF($C$6:$C13,C13,$E$6:$E$370)," / ",SUMIF($C$6:$C$370,C13,$E$6:$E$370))</f>
        <v>42 / 60</v>
      </c>
      <c r="I13" s="28" t="str">
        <f>CONCATENATE(SUMIF($D$6:$D13,D13,$E$6:$E$370)," / ",SUMIF($D$6:$D$370,D13,$E$6:$E$370))</f>
        <v>86 / 220</v>
      </c>
      <c r="J13" s="28" t="str">
        <f>CONCATENATE(SUM($E$6:$E13)," / ",SUM($E$6:$E$370))</f>
        <v>86 / 2271</v>
      </c>
      <c r="K13" s="24"/>
      <c r="L13" s="28" t="str">
        <f>CONCATENATE(SUMIF($C$6:$C13,C13,$G$6:$G$370)," / ",SUMIF($C$6:$C$370,C13,$G$6:$G$370))</f>
        <v>0 / 0</v>
      </c>
      <c r="M13" s="28" t="str">
        <f>CONCATENATE(SUMIF($D$6:$D13,D13,$G$6:$G$370)," / ",SUMIF($D$6:$D$370,D13,$G$6:$G$370))</f>
        <v>0 / 0</v>
      </c>
      <c r="N13" s="28" t="str">
        <f>CONCATENATE(SUM($G$6:$G13)," / ",SUM($G$6:$G$370))</f>
        <v>0 / 2244,5</v>
      </c>
      <c r="O13" s="24"/>
      <c r="P13" s="224">
        <v>0</v>
      </c>
      <c r="Q13" s="28" t="str">
        <f>CONCATENATE(SUMIF($C$6:$C13,C13,$P$6:$P$370)," / ",SUMIF($C$6:$C$370,C13,$P$6:$P$370))</f>
        <v>0 / 0</v>
      </c>
      <c r="R13" s="28" t="str">
        <f>CONCATENATE(SUMIF($D$6:$D13,$D13,$P$6:$P$370)," / ",SUMIF($D$6:$D$370,$D13,$P$6:$P$370))</f>
        <v>0 / 0</v>
      </c>
      <c r="S13" s="28" t="str">
        <f>CONCATENATE(SUM($P$6:$P13)," / ",SUM($P$6:$P$370))</f>
        <v>0 / 30850</v>
      </c>
    </row>
    <row r="14" spans="2:22" ht="13" thickBot="1">
      <c r="B14" s="238">
        <f t="shared" si="2"/>
        <v>42048</v>
      </c>
      <c r="C14" s="124">
        <f t="shared" si="0"/>
        <v>7</v>
      </c>
      <c r="D14" s="124">
        <f t="shared" si="1"/>
        <v>2</v>
      </c>
      <c r="E14" s="28">
        <v>0</v>
      </c>
      <c r="F14" s="192"/>
      <c r="G14" s="124"/>
      <c r="H14" s="28" t="str">
        <f>CONCATENATE(SUMIF($C$6:$C14,C14,$E$6:$E$370)," / ",SUMIF($C$6:$C$370,C14,$E$6:$E$370))</f>
        <v>42 / 60</v>
      </c>
      <c r="I14" s="28" t="str">
        <f>CONCATENATE(SUMIF($D$6:$D14,D14,$E$6:$E$370)," / ",SUMIF($D$6:$D$370,D14,$E$6:$E$370))</f>
        <v>86 / 220</v>
      </c>
      <c r="J14" s="28" t="str">
        <f>CONCATENATE(SUM($E$6:$E14)," / ",SUM($E$6:$E$370))</f>
        <v>86 / 2271</v>
      </c>
      <c r="K14" s="24"/>
      <c r="L14" s="28" t="str">
        <f>CONCATENATE(SUMIF($C$6:$C14,C14,$G$6:$G$370)," / ",SUMIF($C$6:$C$370,C14,$G$6:$G$370))</f>
        <v>0 / 0</v>
      </c>
      <c r="M14" s="28" t="str">
        <f>CONCATENATE(SUMIF($D$6:$D14,D14,$G$6:$G$370)," / ",SUMIF($D$6:$D$370,D14,$G$6:$G$370))</f>
        <v>0 / 0</v>
      </c>
      <c r="N14" s="28" t="str">
        <f>CONCATENATE(SUM($G$6:$G14)," / ",SUM($G$6:$G$370))</f>
        <v>0 / 2244,5</v>
      </c>
      <c r="O14" s="24"/>
      <c r="P14" s="224">
        <v>0</v>
      </c>
      <c r="Q14" s="28" t="str">
        <f>CONCATENATE(SUMIF($C$6:$C14,C14,$P$6:$P$370)," / ",SUMIF($C$6:$C$370,C14,$P$6:$P$370))</f>
        <v>0 / 0</v>
      </c>
      <c r="R14" s="28" t="str">
        <f>CONCATENATE(SUMIF($D$6:$D14,$D14,$P$6:$P$370)," / ",SUMIF($D$6:$D$370,$D14,$P$6:$P$370))</f>
        <v>0 / 0</v>
      </c>
      <c r="S14" s="28" t="str">
        <f>CONCATENATE(SUM($P$6:$P14)," / ",SUM($P$6:$P$370))</f>
        <v>0 / 30850</v>
      </c>
    </row>
    <row r="15" spans="2:22" ht="13" thickBot="1">
      <c r="B15" s="238">
        <f t="shared" si="2"/>
        <v>42049</v>
      </c>
      <c r="C15" s="124">
        <f t="shared" si="0"/>
        <v>7</v>
      </c>
      <c r="D15" s="124">
        <f t="shared" si="1"/>
        <v>2</v>
      </c>
      <c r="E15" s="28">
        <v>18</v>
      </c>
      <c r="F15" s="27" t="s">
        <v>370</v>
      </c>
      <c r="G15" s="124"/>
      <c r="H15" s="28" t="str">
        <f>CONCATENATE(SUMIF($C$6:$C15,C15,$E$6:$E$370)," / ",SUMIF($C$6:$C$370,C15,$E$6:$E$370))</f>
        <v>60 / 60</v>
      </c>
      <c r="I15" s="28" t="str">
        <f>CONCATENATE(SUMIF($D$6:$D15,D15,$E$6:$E$370)," / ",SUMIF($D$6:$D$370,D15,$E$6:$E$370))</f>
        <v>104 / 220</v>
      </c>
      <c r="J15" s="28" t="str">
        <f>CONCATENATE(SUM($E$6:$E15)," / ",SUM($E$6:$E$370))</f>
        <v>104 / 2271</v>
      </c>
      <c r="K15" s="24" t="s">
        <v>381</v>
      </c>
      <c r="L15" s="28" t="str">
        <f>CONCATENATE(SUMIF($C$6:$C15,C15,$G$6:$G$370)," / ",SUMIF($C$6:$C$370,C15,$G$6:$G$370))</f>
        <v>0 / 0</v>
      </c>
      <c r="M15" s="28" t="str">
        <f>CONCATENATE(SUMIF($D$6:$D15,D15,$G$6:$G$370)," / ",SUMIF($D$6:$D$370,D15,$G$6:$G$370))</f>
        <v>0 / 0</v>
      </c>
      <c r="N15" s="28" t="str">
        <f>CONCATENATE(SUM($G$6:$G15)," / ",SUM($G$6:$G$370))</f>
        <v>0 / 2244,5</v>
      </c>
      <c r="O15" s="24"/>
      <c r="P15" s="224">
        <v>0</v>
      </c>
      <c r="Q15" s="28" t="str">
        <f>CONCATENATE(SUMIF($C$6:$C15,C15,$P$6:$P$370)," / ",SUMIF($C$6:$C$370,C15,$P$6:$P$370))</f>
        <v>0 / 0</v>
      </c>
      <c r="R15" s="28" t="str">
        <f>CONCATENATE(SUMIF($D$6:$D15,$D15,$P$6:$P$370)," / ",SUMIF($D$6:$D$370,$D15,$P$6:$P$370))</f>
        <v>0 / 0</v>
      </c>
      <c r="S15" s="28" t="str">
        <f>CONCATENATE(SUM($P$6:$P15)," / ",SUM($P$6:$P$370))</f>
        <v>0 / 30850</v>
      </c>
    </row>
    <row r="16" spans="2:22" ht="13" thickBot="1">
      <c r="B16" s="238">
        <f t="shared" si="2"/>
        <v>42050</v>
      </c>
      <c r="C16" s="124">
        <f t="shared" si="0"/>
        <v>8</v>
      </c>
      <c r="D16" s="124">
        <f t="shared" si="1"/>
        <v>2</v>
      </c>
      <c r="E16" s="28">
        <v>0</v>
      </c>
      <c r="F16" s="192"/>
      <c r="G16" s="124"/>
      <c r="H16" s="28" t="str">
        <f>CONCATENATE(SUMIF($C$6:$C16,C16,$E$6:$E$370)," / ",SUMIF($C$6:$C$370,C16,$E$6:$E$370))</f>
        <v>0 / 81</v>
      </c>
      <c r="I16" s="28" t="str">
        <f>CONCATENATE(SUMIF($D$6:$D16,D16,$E$6:$E$370)," / ",SUMIF($D$6:$D$370,D16,$E$6:$E$370))</f>
        <v>104 / 220</v>
      </c>
      <c r="J16" s="28" t="str">
        <f>CONCATENATE(SUM($E$6:$E16)," / ",SUM($E$6:$E$370))</f>
        <v>104 / 2271</v>
      </c>
      <c r="K16" s="24"/>
      <c r="L16" s="28" t="str">
        <f>CONCATENATE(SUMIF($C$6:$C16,C16,$G$6:$G$370)," / ",SUMIF($C$6:$C$370,C16,$G$6:$G$370))</f>
        <v>0 / 0</v>
      </c>
      <c r="M16" s="28" t="str">
        <f>CONCATENATE(SUMIF($D$6:$D16,D16,$G$6:$G$370)," / ",SUMIF($D$6:$D$370,D16,$G$6:$G$370))</f>
        <v>0 / 0</v>
      </c>
      <c r="N16" s="28" t="str">
        <f>CONCATENATE(SUM($G$6:$G16)," / ",SUM($G$6:$G$370))</f>
        <v>0 / 2244,5</v>
      </c>
      <c r="O16" s="24"/>
      <c r="P16" s="224">
        <v>0</v>
      </c>
      <c r="Q16" s="28" t="str">
        <f>CONCATENATE(SUMIF($C$6:$C16,C16,$P$6:$P$370)," / ",SUMIF($C$6:$C$370,C16,$P$6:$P$370))</f>
        <v>0 / 0</v>
      </c>
      <c r="R16" s="28" t="str">
        <f>CONCATENATE(SUMIF($D$6:$D16,$D16,$P$6:$P$370)," / ",SUMIF($D$6:$D$370,$D16,$P$6:$P$370))</f>
        <v>0 / 0</v>
      </c>
      <c r="S16" s="28" t="str">
        <f>CONCATENATE(SUM($P$6:$P16)," / ",SUM($P$6:$P$370))</f>
        <v>0 / 30850</v>
      </c>
    </row>
    <row r="17" spans="2:19" ht="13" thickBot="1">
      <c r="B17" s="238">
        <f t="shared" si="2"/>
        <v>42051</v>
      </c>
      <c r="C17" s="124">
        <f t="shared" si="0"/>
        <v>8</v>
      </c>
      <c r="D17" s="124">
        <f t="shared" si="1"/>
        <v>2</v>
      </c>
      <c r="E17" s="28">
        <v>6</v>
      </c>
      <c r="F17" s="27" t="s">
        <v>416</v>
      </c>
      <c r="G17" s="124"/>
      <c r="H17" s="28" t="str">
        <f>CONCATENATE(SUMIF($C$6:$C17,C17,$E$6:$E$370)," / ",SUMIF($C$6:$C$370,C17,$E$6:$E$370))</f>
        <v>6 / 81</v>
      </c>
      <c r="I17" s="28" t="str">
        <f>CONCATENATE(SUMIF($D$6:$D17,D17,$E$6:$E$370)," / ",SUMIF($D$6:$D$370,D17,$E$6:$E$370))</f>
        <v>110 / 220</v>
      </c>
      <c r="J17" s="28" t="str">
        <f>CONCATENATE(SUM($E$6:$E17)," / ",SUM($E$6:$E$370))</f>
        <v>110 / 2271</v>
      </c>
      <c r="K17" s="24" t="s">
        <v>382</v>
      </c>
      <c r="L17" s="28" t="str">
        <f>CONCATENATE(SUMIF($C$6:$C17,C17,$G$6:$G$370)," / ",SUMIF($C$6:$C$370,C17,$G$6:$G$370))</f>
        <v>0 / 0</v>
      </c>
      <c r="M17" s="28" t="str">
        <f>CONCATENATE(SUMIF($D$6:$D17,D17,$G$6:$G$370)," / ",SUMIF($D$6:$D$370,D17,$G$6:$G$370))</f>
        <v>0 / 0</v>
      </c>
      <c r="N17" s="28" t="str">
        <f>CONCATENATE(SUM($G$6:$G17)," / ",SUM($G$6:$G$370))</f>
        <v>0 / 2244,5</v>
      </c>
      <c r="O17" s="24"/>
      <c r="P17" s="224">
        <v>0</v>
      </c>
      <c r="Q17" s="28" t="str">
        <f>CONCATENATE(SUMIF($C$6:$C17,C17,$P$6:$P$370)," / ",SUMIF($C$6:$C$370,C17,$P$6:$P$370))</f>
        <v>0 / 0</v>
      </c>
      <c r="R17" s="28" t="str">
        <f>CONCATENATE(SUMIF($D$6:$D17,$D17,$P$6:$P$370)," / ",SUMIF($D$6:$D$370,$D17,$P$6:$P$370))</f>
        <v>0 / 0</v>
      </c>
      <c r="S17" s="28" t="str">
        <f>CONCATENATE(SUM($P$6:$P17)," / ",SUM($P$6:$P$370))</f>
        <v>0 / 30850</v>
      </c>
    </row>
    <row r="18" spans="2:19" ht="13" thickBot="1">
      <c r="B18" s="238">
        <f t="shared" si="2"/>
        <v>42052</v>
      </c>
      <c r="C18" s="124">
        <f t="shared" si="0"/>
        <v>8</v>
      </c>
      <c r="D18" s="124">
        <f t="shared" si="1"/>
        <v>2</v>
      </c>
      <c r="E18" s="28">
        <v>15</v>
      </c>
      <c r="F18" s="27"/>
      <c r="G18" s="124"/>
      <c r="H18" s="28" t="str">
        <f>CONCATENATE(SUMIF($C$6:$C18,C18,$E$6:$E$370)," / ",SUMIF($C$6:$C$370,C18,$E$6:$E$370))</f>
        <v>21 / 81</v>
      </c>
      <c r="I18" s="28" t="str">
        <f>CONCATENATE(SUMIF($D$6:$D18,D18,$E$6:$E$370)," / ",SUMIF($D$6:$D$370,D18,$E$6:$E$370))</f>
        <v>125 / 220</v>
      </c>
      <c r="J18" s="28" t="str">
        <f>CONCATENATE(SUM($E$6:$E18)," / ",SUM($E$6:$E$370))</f>
        <v>125 / 2271</v>
      </c>
      <c r="K18" s="24"/>
      <c r="L18" s="28" t="str">
        <f>CONCATENATE(SUMIF($C$6:$C18,C18,$G$6:$G$370)," / ",SUMIF($C$6:$C$370,C18,$G$6:$G$370))</f>
        <v>0 / 0</v>
      </c>
      <c r="M18" s="28" t="str">
        <f>CONCATENATE(SUMIF($D$6:$D18,D18,$G$6:$G$370)," / ",SUMIF($D$6:$D$370,D18,$G$6:$G$370))</f>
        <v>0 / 0</v>
      </c>
      <c r="N18" s="28" t="str">
        <f>CONCATENATE(SUM($G$6:$G18)," / ",SUM($G$6:$G$370))</f>
        <v>0 / 2244,5</v>
      </c>
      <c r="O18" s="24"/>
      <c r="P18" s="224">
        <v>0</v>
      </c>
      <c r="Q18" s="28" t="str">
        <f>CONCATENATE(SUMIF($C$6:$C18,C18,$P$6:$P$370)," / ",SUMIF($C$6:$C$370,C18,$P$6:$P$370))</f>
        <v>0 / 0</v>
      </c>
      <c r="R18" s="28" t="str">
        <f>CONCATENATE(SUMIF($D$6:$D18,$D18,$P$6:$P$370)," / ",SUMIF($D$6:$D$370,$D18,$P$6:$P$370))</f>
        <v>0 / 0</v>
      </c>
      <c r="S18" s="28" t="str">
        <f>CONCATENATE(SUM($P$6:$P18)," / ",SUM($P$6:$P$370))</f>
        <v>0 / 30850</v>
      </c>
    </row>
    <row r="19" spans="2:19" ht="13" thickBot="1">
      <c r="B19" s="238">
        <f t="shared" si="2"/>
        <v>42053</v>
      </c>
      <c r="C19" s="124">
        <f t="shared" si="0"/>
        <v>8</v>
      </c>
      <c r="D19" s="124">
        <f t="shared" si="1"/>
        <v>2</v>
      </c>
      <c r="E19" s="28">
        <v>14</v>
      </c>
      <c r="F19" s="27" t="s">
        <v>372</v>
      </c>
      <c r="G19" s="124"/>
      <c r="H19" s="28" t="str">
        <f>CONCATENATE(SUMIF($C$6:$C19,C19,$E$6:$E$370)," / ",SUMIF($C$6:$C$370,C19,$E$6:$E$370))</f>
        <v>35 / 81</v>
      </c>
      <c r="I19" s="28" t="str">
        <f>CONCATENATE(SUMIF($D$6:$D19,D19,$E$6:$E$370)," / ",SUMIF($D$6:$D$370,D19,$E$6:$E$370))</f>
        <v>139 / 220</v>
      </c>
      <c r="J19" s="28" t="str">
        <f>CONCATENATE(SUM($E$6:$E19)," / ",SUM($E$6:$E$370))</f>
        <v>139 / 2271</v>
      </c>
      <c r="K19" s="24" t="s">
        <v>382</v>
      </c>
      <c r="L19" s="28" t="str">
        <f>CONCATENATE(SUMIF($C$6:$C19,C19,$G$6:$G$370)," / ",SUMIF($C$6:$C$370,C19,$G$6:$G$370))</f>
        <v>0 / 0</v>
      </c>
      <c r="M19" s="28" t="str">
        <f>CONCATENATE(SUMIF($D$6:$D19,D19,$G$6:$G$370)," / ",SUMIF($D$6:$D$370,D19,$G$6:$G$370))</f>
        <v>0 / 0</v>
      </c>
      <c r="N19" s="28" t="str">
        <f>CONCATENATE(SUM($G$6:$G19)," / ",SUM($G$6:$G$370))</f>
        <v>0 / 2244,5</v>
      </c>
      <c r="O19" s="24"/>
      <c r="P19" s="224">
        <v>0</v>
      </c>
      <c r="Q19" s="28" t="str">
        <f>CONCATENATE(SUMIF($C$6:$C19,C19,$P$6:$P$370)," / ",SUMIF($C$6:$C$370,C19,$P$6:$P$370))</f>
        <v>0 / 0</v>
      </c>
      <c r="R19" s="28" t="str">
        <f>CONCATENATE(SUMIF($D$6:$D19,$D19,$P$6:$P$370)," / ",SUMIF($D$6:$D$370,$D19,$P$6:$P$370))</f>
        <v>0 / 0</v>
      </c>
      <c r="S19" s="28" t="str">
        <f>CONCATENATE(SUM($P$6:$P19)," / ",SUM($P$6:$P$370))</f>
        <v>0 / 30850</v>
      </c>
    </row>
    <row r="20" spans="2:19" ht="13" thickBot="1">
      <c r="B20" s="238">
        <f t="shared" si="2"/>
        <v>42054</v>
      </c>
      <c r="C20" s="124">
        <f t="shared" si="0"/>
        <v>8</v>
      </c>
      <c r="D20" s="124">
        <f t="shared" si="1"/>
        <v>2</v>
      </c>
      <c r="E20" s="28">
        <v>16</v>
      </c>
      <c r="F20" s="27" t="s">
        <v>372</v>
      </c>
      <c r="G20" s="124"/>
      <c r="H20" s="28" t="str">
        <f>CONCATENATE(SUMIF($C$6:$C20,C20,$E$6:$E$370)," / ",SUMIF($C$6:$C$370,C20,$E$6:$E$370))</f>
        <v>51 / 81</v>
      </c>
      <c r="I20" s="28" t="str">
        <f>CONCATENATE(SUMIF($D$6:$D20,D20,$E$6:$E$370)," / ",SUMIF($D$6:$D$370,D20,$E$6:$E$370))</f>
        <v>155 / 220</v>
      </c>
      <c r="J20" s="28" t="str">
        <f>CONCATENATE(SUM($E$6:$E20)," / ",SUM($E$6:$E$370))</f>
        <v>155 / 2271</v>
      </c>
      <c r="K20" s="24" t="s">
        <v>382</v>
      </c>
      <c r="L20" s="28" t="str">
        <f>CONCATENATE(SUMIF($C$6:$C20,C20,$G$6:$G$370)," / ",SUMIF($C$6:$C$370,C20,$G$6:$G$370))</f>
        <v>0 / 0</v>
      </c>
      <c r="M20" s="28" t="str">
        <f>CONCATENATE(SUMIF($D$6:$D20,D20,$G$6:$G$370)," / ",SUMIF($D$6:$D$370,D20,$G$6:$G$370))</f>
        <v>0 / 0</v>
      </c>
      <c r="N20" s="28" t="str">
        <f>CONCATENATE(SUM($G$6:$G20)," / ",SUM($G$6:$G$370))</f>
        <v>0 / 2244,5</v>
      </c>
      <c r="O20" s="24"/>
      <c r="P20" s="224">
        <v>0</v>
      </c>
      <c r="Q20" s="28" t="str">
        <f>CONCATENATE(SUMIF($C$6:$C20,C20,$P$6:$P$370)," / ",SUMIF($C$6:$C$370,C20,$P$6:$P$370))</f>
        <v>0 / 0</v>
      </c>
      <c r="R20" s="28" t="str">
        <f>CONCATENATE(SUMIF($D$6:$D20,$D20,$P$6:$P$370)," / ",SUMIF($D$6:$D$370,$D20,$P$6:$P$370))</f>
        <v>0 / 0</v>
      </c>
      <c r="S20" s="28" t="str">
        <f>CONCATENATE(SUM($P$6:$P20)," / ",SUM($P$6:$P$370))</f>
        <v>0 / 30850</v>
      </c>
    </row>
    <row r="21" spans="2:19" ht="13" thickBot="1">
      <c r="B21" s="238">
        <f t="shared" si="2"/>
        <v>42055</v>
      </c>
      <c r="C21" s="124">
        <f t="shared" si="0"/>
        <v>8</v>
      </c>
      <c r="D21" s="124">
        <f t="shared" si="1"/>
        <v>2</v>
      </c>
      <c r="E21" s="28">
        <v>12</v>
      </c>
      <c r="F21" s="27" t="s">
        <v>417</v>
      </c>
      <c r="G21" s="124"/>
      <c r="H21" s="28" t="str">
        <f>CONCATENATE(SUMIF($C$6:$C21,C21,$E$6:$E$370)," / ",SUMIF($C$6:$C$370,C21,$E$6:$E$370))</f>
        <v>63 / 81</v>
      </c>
      <c r="I21" s="28" t="str">
        <f>CONCATENATE(SUMIF($D$6:$D21,D21,$E$6:$E$370)," / ",SUMIF($D$6:$D$370,D21,$E$6:$E$370))</f>
        <v>167 / 220</v>
      </c>
      <c r="J21" s="28" t="str">
        <f>CONCATENATE(SUM($E$6:$E21)," / ",SUM($E$6:$E$370))</f>
        <v>167 / 2271</v>
      </c>
      <c r="K21" s="24" t="s">
        <v>382</v>
      </c>
      <c r="L21" s="28" t="str">
        <f>CONCATENATE(SUMIF($C$6:$C21,C21,$G$6:$G$370)," / ",SUMIF($C$6:$C$370,C21,$G$6:$G$370))</f>
        <v>0 / 0</v>
      </c>
      <c r="M21" s="28" t="str">
        <f>CONCATENATE(SUMIF($D$6:$D21,D21,$G$6:$G$370)," / ",SUMIF($D$6:$D$370,D21,$G$6:$G$370))</f>
        <v>0 / 0</v>
      </c>
      <c r="N21" s="28" t="str">
        <f>CONCATENATE(SUM($G$6:$G21)," / ",SUM($G$6:$G$370))</f>
        <v>0 / 2244,5</v>
      </c>
      <c r="O21" s="24"/>
      <c r="P21" s="224">
        <v>0</v>
      </c>
      <c r="Q21" s="28" t="str">
        <f>CONCATENATE(SUMIF($C$6:$C21,C21,$P$6:$P$370)," / ",SUMIF($C$6:$C$370,C21,$P$6:$P$370))</f>
        <v>0 / 0</v>
      </c>
      <c r="R21" s="28" t="str">
        <f>CONCATENATE(SUMIF($D$6:$D21,$D21,$P$6:$P$370)," / ",SUMIF($D$6:$D$370,$D21,$P$6:$P$370))</f>
        <v>0 / 0</v>
      </c>
      <c r="S21" s="28" t="str">
        <f>CONCATENATE(SUM($P$6:$P21)," / ",SUM($P$6:$P$370))</f>
        <v>0 / 30850</v>
      </c>
    </row>
    <row r="22" spans="2:19" ht="13" thickBot="1">
      <c r="B22" s="238">
        <f t="shared" si="2"/>
        <v>42056</v>
      </c>
      <c r="C22" s="124">
        <f t="shared" si="0"/>
        <v>8</v>
      </c>
      <c r="D22" s="124">
        <f t="shared" si="1"/>
        <v>2</v>
      </c>
      <c r="E22" s="28">
        <v>18</v>
      </c>
      <c r="F22" s="27" t="s">
        <v>374</v>
      </c>
      <c r="G22" s="124"/>
      <c r="H22" s="28" t="str">
        <f>CONCATENATE(SUMIF($C$6:$C22,C22,$E$6:$E$370)," / ",SUMIF($C$6:$C$370,C22,$E$6:$E$370))</f>
        <v>81 / 81</v>
      </c>
      <c r="I22" s="28" t="str">
        <f>CONCATENATE(SUMIF($D$6:$D22,D22,$E$6:$E$370)," / ",SUMIF($D$6:$D$370,D22,$E$6:$E$370))</f>
        <v>185 / 220</v>
      </c>
      <c r="J22" s="28" t="str">
        <f>CONCATENATE(SUM($E$6:$E22)," / ",SUM($E$6:$E$370))</f>
        <v>185 / 2271</v>
      </c>
      <c r="K22" s="24" t="s">
        <v>382</v>
      </c>
      <c r="L22" s="28" t="str">
        <f>CONCATENATE(SUMIF($C$6:$C22,C22,$G$6:$G$370)," / ",SUMIF($C$6:$C$370,C22,$G$6:$G$370))</f>
        <v>0 / 0</v>
      </c>
      <c r="M22" s="28" t="str">
        <f>CONCATENATE(SUMIF($D$6:$D22,D22,$G$6:$G$370)," / ",SUMIF($D$6:$D$370,D22,$G$6:$G$370))</f>
        <v>0 / 0</v>
      </c>
      <c r="N22" s="28" t="str">
        <f>CONCATENATE(SUM($G$6:$G22)," / ",SUM($G$6:$G$370))</f>
        <v>0 / 2244,5</v>
      </c>
      <c r="O22" s="24"/>
      <c r="P22" s="224">
        <v>0</v>
      </c>
      <c r="Q22" s="28" t="str">
        <f>CONCATENATE(SUMIF($C$6:$C22,C22,$P$6:$P$370)," / ",SUMIF($C$6:$C$370,C22,$P$6:$P$370))</f>
        <v>0 / 0</v>
      </c>
      <c r="R22" s="28" t="str">
        <f>CONCATENATE(SUMIF($D$6:$D22,$D22,$P$6:$P$370)," / ",SUMIF($D$6:$D$370,$D22,$P$6:$P$370))</f>
        <v>0 / 0</v>
      </c>
      <c r="S22" s="28" t="str">
        <f>CONCATENATE(SUM($P$6:$P22)," / ",SUM($P$6:$P$370))</f>
        <v>0 / 30850</v>
      </c>
    </row>
    <row r="23" spans="2:19" ht="13" thickBot="1">
      <c r="B23" s="240">
        <f t="shared" si="2"/>
        <v>42057</v>
      </c>
      <c r="C23" s="205">
        <f t="shared" si="0"/>
        <v>9</v>
      </c>
      <c r="D23" s="205">
        <f t="shared" si="1"/>
        <v>2</v>
      </c>
      <c r="E23" s="206">
        <v>0</v>
      </c>
      <c r="F23" s="207"/>
      <c r="G23" s="205"/>
      <c r="H23" s="206" t="str">
        <f>CONCATENATE(SUMIF($C$6:$C23,C23,$E$6:$E$370)," / ",SUMIF($C$6:$C$370,C23,$E$6:$E$370))</f>
        <v>0 / 35</v>
      </c>
      <c r="I23" s="206" t="str">
        <f>CONCATENATE(SUMIF($D$6:$D23,D23,$E$6:$E$370)," / ",SUMIF($D$6:$D$370,D23,$E$6:$E$370))</f>
        <v>185 / 220</v>
      </c>
      <c r="J23" s="206" t="str">
        <f>CONCATENATE(SUM($E$6:$E23)," / ",SUM($E$6:$E$370))</f>
        <v>185 / 2271</v>
      </c>
      <c r="K23" s="208" t="s">
        <v>382</v>
      </c>
      <c r="L23" s="28" t="str">
        <f>CONCATENATE(SUMIF($C$6:$C23,C23,$G$6:$G$370)," / ",SUMIF($C$6:$C$370,C23,$G$6:$G$370))</f>
        <v>0 / 0</v>
      </c>
      <c r="M23" s="28" t="str">
        <f>CONCATENATE(SUMIF($D$6:$D23,D23,$G$6:$G$370)," / ",SUMIF($D$6:$D$370,D23,$G$6:$G$370))</f>
        <v>0 / 0</v>
      </c>
      <c r="N23" s="28" t="str">
        <f>CONCATENATE(SUM($G$6:$G23)," / ",SUM($G$6:$G$370))</f>
        <v>0 / 2244,5</v>
      </c>
      <c r="O23" s="24"/>
      <c r="P23" s="224">
        <v>0</v>
      </c>
      <c r="Q23" s="28" t="str">
        <f>CONCATENATE(SUMIF($C$6:$C23,C23,$P$6:$P$370)," / ",SUMIF($C$6:$C$370,C23,$P$6:$P$370))</f>
        <v>0 / 0</v>
      </c>
      <c r="R23" s="28" t="str">
        <f>CONCATENATE(SUMIF($D$6:$D23,$D23,$P$6:$P$370)," / ",SUMIF($D$6:$D$370,$D23,$P$6:$P$370))</f>
        <v>0 / 0</v>
      </c>
      <c r="S23" s="28" t="str">
        <f>CONCATENATE(SUM($P$6:$P23)," / ",SUM($P$6:$P$370))</f>
        <v>0 / 30850</v>
      </c>
    </row>
    <row r="24" spans="2:19" ht="13" thickBot="1">
      <c r="B24" s="238">
        <f t="shared" si="2"/>
        <v>42058</v>
      </c>
      <c r="C24" s="124">
        <f t="shared" si="0"/>
        <v>9</v>
      </c>
      <c r="D24" s="124">
        <f t="shared" si="1"/>
        <v>2</v>
      </c>
      <c r="E24" s="28">
        <v>11</v>
      </c>
      <c r="F24" s="27" t="s">
        <v>374</v>
      </c>
      <c r="G24" s="124"/>
      <c r="H24" s="28" t="str">
        <f>CONCATENATE(SUMIF($C$6:$C24,C24,$E$6:$E$370)," / ",SUMIF($C$6:$C$370,C24,$E$6:$E$370))</f>
        <v>11 / 35</v>
      </c>
      <c r="I24" s="28" t="str">
        <f>CONCATENATE(SUMIF($D$6:$D24,D24,$E$6:$E$370)," / ",SUMIF($D$6:$D$370,D24,$E$6:$E$370))</f>
        <v>196 / 220</v>
      </c>
      <c r="J24" s="28" t="str">
        <f>CONCATENATE(SUM($E$6:$E24)," / ",SUM($E$6:$E$370))</f>
        <v>196 / 2271</v>
      </c>
      <c r="K24" s="24"/>
      <c r="L24" s="28" t="str">
        <f>CONCATENATE(SUMIF($C$6:$C24,C24,$G$6:$G$370)," / ",SUMIF($C$6:$C$370,C24,$G$6:$G$370))</f>
        <v>0 / 0</v>
      </c>
      <c r="M24" s="28" t="str">
        <f>CONCATENATE(SUMIF($D$6:$D24,D24,$G$6:$G$370)," / ",SUMIF($D$6:$D$370,D24,$G$6:$G$370))</f>
        <v>0 / 0</v>
      </c>
      <c r="N24" s="28" t="str">
        <f>CONCATENATE(SUM($G$6:$G24)," / ",SUM($G$6:$G$370))</f>
        <v>0 / 2244,5</v>
      </c>
      <c r="O24" s="24"/>
      <c r="P24" s="224">
        <v>0</v>
      </c>
      <c r="Q24" s="28" t="str">
        <f>CONCATENATE(SUMIF($C$6:$C24,C24,$P$6:$P$370)," / ",SUMIF($C$6:$C$370,C24,$P$6:$P$370))</f>
        <v>0 / 0</v>
      </c>
      <c r="R24" s="28" t="str">
        <f>CONCATENATE(SUMIF($D$6:$D24,$D24,$P$6:$P$370)," / ",SUMIF($D$6:$D$370,$D24,$P$6:$P$370))</f>
        <v>0 / 0</v>
      </c>
      <c r="S24" s="28" t="str">
        <f>CONCATENATE(SUM($P$6:$P24)," / ",SUM($P$6:$P$370))</f>
        <v>0 / 30850</v>
      </c>
    </row>
    <row r="25" spans="2:19" ht="13" thickBot="1">
      <c r="B25" s="238">
        <f t="shared" si="2"/>
        <v>42059</v>
      </c>
      <c r="C25" s="124">
        <f t="shared" si="0"/>
        <v>9</v>
      </c>
      <c r="D25" s="124">
        <f t="shared" si="1"/>
        <v>2</v>
      </c>
      <c r="E25" s="28">
        <v>0</v>
      </c>
      <c r="F25" s="27" t="s">
        <v>418</v>
      </c>
      <c r="G25" s="124"/>
      <c r="H25" s="28" t="str">
        <f>CONCATENATE(SUMIF($C$6:$C25,C25,$E$6:$E$370)," / ",SUMIF($C$6:$C$370,C25,$E$6:$E$370))</f>
        <v>11 / 35</v>
      </c>
      <c r="I25" s="28" t="str">
        <f>CONCATENATE(SUMIF($D$6:$D25,D25,$E$6:$E$370)," / ",SUMIF($D$6:$D$370,D25,$E$6:$E$370))</f>
        <v>196 / 220</v>
      </c>
      <c r="J25" s="28" t="str">
        <f>CONCATENATE(SUM($E$6:$E25)," / ",SUM($E$6:$E$370))</f>
        <v>196 / 2271</v>
      </c>
      <c r="K25" s="24"/>
      <c r="L25" s="28" t="str">
        <f>CONCATENATE(SUMIF($C$6:$C25,C25,$G$6:$G$370)," / ",SUMIF($C$6:$C$370,C25,$G$6:$G$370))</f>
        <v>0 / 0</v>
      </c>
      <c r="M25" s="28" t="str">
        <f>CONCATENATE(SUMIF($D$6:$D25,D25,$G$6:$G$370)," / ",SUMIF($D$6:$D$370,D25,$G$6:$G$370))</f>
        <v>0 / 0</v>
      </c>
      <c r="N25" s="28" t="str">
        <f>CONCATENATE(SUM($G$6:$G25)," / ",SUM($G$6:$G$370))</f>
        <v>0 / 2244,5</v>
      </c>
      <c r="O25" s="24"/>
      <c r="P25" s="224">
        <v>0</v>
      </c>
      <c r="Q25" s="28" t="str">
        <f>CONCATENATE(SUMIF($C$6:$C25,C25,$P$6:$P$370)," / ",SUMIF($C$6:$C$370,C25,$P$6:$P$370))</f>
        <v>0 / 0</v>
      </c>
      <c r="R25" s="28" t="str">
        <f>CONCATENATE(SUMIF($D$6:$D25,$D25,$P$6:$P$370)," / ",SUMIF($D$6:$D$370,$D25,$P$6:$P$370))</f>
        <v>0 / 0</v>
      </c>
      <c r="S25" s="28" t="str">
        <f>CONCATENATE(SUM($P$6:$P25)," / ",SUM($P$6:$P$370))</f>
        <v>0 / 30850</v>
      </c>
    </row>
    <row r="26" spans="2:19" ht="13" thickBot="1">
      <c r="B26" s="238">
        <f t="shared" si="2"/>
        <v>42060</v>
      </c>
      <c r="C26" s="124">
        <f t="shared" si="0"/>
        <v>9</v>
      </c>
      <c r="D26" s="124">
        <f t="shared" si="1"/>
        <v>2</v>
      </c>
      <c r="E26" s="28">
        <v>0</v>
      </c>
      <c r="F26" s="27"/>
      <c r="G26" s="124"/>
      <c r="H26" s="28" t="str">
        <f>CONCATENATE(SUMIF($C$6:$C26,C26,$E$6:$E$370)," / ",SUMIF($C$6:$C$370,C26,$E$6:$E$370))</f>
        <v>11 / 35</v>
      </c>
      <c r="I26" s="28" t="str">
        <f>CONCATENATE(SUMIF($D$6:$D26,D26,$E$6:$E$370)," / ",SUMIF($D$6:$D$370,D26,$E$6:$E$370))</f>
        <v>196 / 220</v>
      </c>
      <c r="J26" s="28" t="str">
        <f>CONCATENATE(SUM($E$6:$E26)," / ",SUM($E$6:$E$370))</f>
        <v>196 / 2271</v>
      </c>
      <c r="K26" s="24"/>
      <c r="L26" s="28" t="str">
        <f>CONCATENATE(SUMIF($C$6:$C26,C26,$G$6:$G$370)," / ",SUMIF($C$6:$C$370,C26,$G$6:$G$370))</f>
        <v>0 / 0</v>
      </c>
      <c r="M26" s="28" t="str">
        <f>CONCATENATE(SUMIF($D$6:$D26,D26,$G$6:$G$370)," / ",SUMIF($D$6:$D$370,D26,$G$6:$G$370))</f>
        <v>0 / 0</v>
      </c>
      <c r="N26" s="28" t="str">
        <f>CONCATENATE(SUM($G$6:$G26)," / ",SUM($G$6:$G$370))</f>
        <v>0 / 2244,5</v>
      </c>
      <c r="O26" s="24"/>
      <c r="P26" s="224">
        <v>0</v>
      </c>
      <c r="Q26" s="28" t="str">
        <f>CONCATENATE(SUMIF($C$6:$C26,C26,$P$6:$P$370)," / ",SUMIF($C$6:$C$370,C26,$P$6:$P$370))</f>
        <v>0 / 0</v>
      </c>
      <c r="R26" s="28" t="str">
        <f>CONCATENATE(SUMIF($D$6:$D26,$D26,$P$6:$P$370)," / ",SUMIF($D$6:$D$370,$D26,$P$6:$P$370))</f>
        <v>0 / 0</v>
      </c>
      <c r="S26" s="28" t="str">
        <f>CONCATENATE(SUM($P$6:$P26)," / ",SUM($P$6:$P$370))</f>
        <v>0 / 30850</v>
      </c>
    </row>
    <row r="27" spans="2:19" ht="13" thickBot="1">
      <c r="B27" s="238">
        <f t="shared" si="2"/>
        <v>42061</v>
      </c>
      <c r="C27" s="124">
        <f t="shared" si="0"/>
        <v>9</v>
      </c>
      <c r="D27" s="124">
        <f t="shared" si="1"/>
        <v>2</v>
      </c>
      <c r="E27" s="28">
        <v>13</v>
      </c>
      <c r="F27" s="27" t="s">
        <v>419</v>
      </c>
      <c r="G27" s="124"/>
      <c r="H27" s="28" t="str">
        <f>CONCATENATE(SUMIF($C$6:$C27,C27,$E$6:$E$370)," / ",SUMIF($C$6:$C$370,C27,$E$6:$E$370))</f>
        <v>24 / 35</v>
      </c>
      <c r="I27" s="28" t="str">
        <f>CONCATENATE(SUMIF($D$6:$D27,D27,$E$6:$E$370)," / ",SUMIF($D$6:$D$370,D27,$E$6:$E$370))</f>
        <v>209 / 220</v>
      </c>
      <c r="J27" s="28" t="str">
        <f>CONCATENATE(SUM($E$6:$E27)," / ",SUM($E$6:$E$370))</f>
        <v>209 / 2271</v>
      </c>
      <c r="K27" s="24" t="s">
        <v>382</v>
      </c>
      <c r="L27" s="28" t="str">
        <f>CONCATENATE(SUMIF($C$6:$C27,C27,$G$6:$G$370)," / ",SUMIF($C$6:$C$370,C27,$G$6:$G$370))</f>
        <v>0 / 0</v>
      </c>
      <c r="M27" s="28" t="str">
        <f>CONCATENATE(SUMIF($D$6:$D27,D27,$G$6:$G$370)," / ",SUMIF($D$6:$D$370,D27,$G$6:$G$370))</f>
        <v>0 / 0</v>
      </c>
      <c r="N27" s="28" t="str">
        <f>CONCATENATE(SUM($G$6:$G27)," / ",SUM($G$6:$G$370))</f>
        <v>0 / 2244,5</v>
      </c>
      <c r="O27" s="24"/>
      <c r="P27" s="224">
        <v>0</v>
      </c>
      <c r="Q27" s="28" t="str">
        <f>CONCATENATE(SUMIF($C$6:$C27,C27,$P$6:$P$370)," / ",SUMIF($C$6:$C$370,C27,$P$6:$P$370))</f>
        <v>0 / 0</v>
      </c>
      <c r="R27" s="28" t="str">
        <f>CONCATENATE(SUMIF($D$6:$D27,$D27,$P$6:$P$370)," / ",SUMIF($D$6:$D$370,$D27,$P$6:$P$370))</f>
        <v>0 / 0</v>
      </c>
      <c r="S27" s="28" t="str">
        <f>CONCATENATE(SUM($P$6:$P27)," / ",SUM($P$6:$P$370))</f>
        <v>0 / 30850</v>
      </c>
    </row>
    <row r="28" spans="2:19" ht="13" thickBot="1">
      <c r="B28" s="238">
        <f t="shared" si="2"/>
        <v>42062</v>
      </c>
      <c r="C28" s="124">
        <f t="shared" si="0"/>
        <v>9</v>
      </c>
      <c r="D28" s="124">
        <f t="shared" si="1"/>
        <v>2</v>
      </c>
      <c r="E28" s="28">
        <v>11</v>
      </c>
      <c r="F28" s="27" t="s">
        <v>420</v>
      </c>
      <c r="G28" s="124"/>
      <c r="H28" s="28" t="str">
        <f>CONCATENATE(SUMIF($C$6:$C28,C28,$E$6:$E$370)," / ",SUMIF($C$6:$C$370,C28,$E$6:$E$370))</f>
        <v>35 / 35</v>
      </c>
      <c r="I28" s="28" t="str">
        <f>CONCATENATE(SUMIF($D$6:$D28,D28,$E$6:$E$370)," / ",SUMIF($D$6:$D$370,D28,$E$6:$E$370))</f>
        <v>220 / 220</v>
      </c>
      <c r="J28" s="28" t="str">
        <f>CONCATENATE(SUM($E$6:$E28)," / ",SUM($E$6:$E$370))</f>
        <v>220 / 2271</v>
      </c>
      <c r="K28" s="24" t="s">
        <v>382</v>
      </c>
      <c r="L28" s="28" t="str">
        <f>CONCATENATE(SUMIF($C$6:$C28,C28,$G$6:$G$370)," / ",SUMIF($C$6:$C$370,C28,$G$6:$G$370))</f>
        <v>0 / 0</v>
      </c>
      <c r="M28" s="28" t="str">
        <f>CONCATENATE(SUMIF($D$6:$D28,D28,$G$6:$G$370)," / ",SUMIF($D$6:$D$370,D28,$G$6:$G$370))</f>
        <v>0 / 0</v>
      </c>
      <c r="N28" s="28" t="str">
        <f>CONCATENATE(SUM($G$6:$G28)," / ",SUM($G$6:$G$370))</f>
        <v>0 / 2244,5</v>
      </c>
      <c r="O28" s="24"/>
      <c r="P28" s="224">
        <v>0</v>
      </c>
      <c r="Q28" s="28" t="str">
        <f>CONCATENATE(SUMIF($C$6:$C28,C28,$P$6:$P$370)," / ",SUMIF($C$6:$C$370,C28,$P$6:$P$370))</f>
        <v>0 / 0</v>
      </c>
      <c r="R28" s="28" t="str">
        <f>CONCATENATE(SUMIF($D$6:$D28,$D28,$P$6:$P$370)," / ",SUMIF($D$6:$D$370,$D28,$P$6:$P$370))</f>
        <v>0 / 0</v>
      </c>
      <c r="S28" s="28" t="str">
        <f>CONCATENATE(SUM($P$6:$P28)," / ",SUM($P$6:$P$370))</f>
        <v>0 / 30850</v>
      </c>
    </row>
    <row r="29" spans="2:19" ht="13" thickBot="1">
      <c r="B29" s="238">
        <f t="shared" si="2"/>
        <v>42063</v>
      </c>
      <c r="C29" s="124">
        <f t="shared" si="0"/>
        <v>9</v>
      </c>
      <c r="D29" s="124">
        <f t="shared" si="1"/>
        <v>2</v>
      </c>
      <c r="E29" s="28">
        <v>0</v>
      </c>
      <c r="F29" s="27" t="s">
        <v>421</v>
      </c>
      <c r="G29" s="124"/>
      <c r="H29" s="28" t="str">
        <f>CONCATENATE(SUMIF($C$6:$C29,C29,$E$6:$E$370)," / ",SUMIF($C$6:$C$370,C29,$E$6:$E$370))</f>
        <v>35 / 35</v>
      </c>
      <c r="I29" s="28" t="str">
        <f>CONCATENATE(SUMIF($D$6:$D29,D29,$E$6:$E$370)," / ",SUMIF($D$6:$D$370,D29,$E$6:$E$370))</f>
        <v>220 / 220</v>
      </c>
      <c r="J29" s="28" t="str">
        <f>CONCATENATE(SUM($E$6:$E29)," / ",SUM($E$6:$E$370))</f>
        <v>220 / 2271</v>
      </c>
      <c r="K29" s="24"/>
      <c r="L29" s="28" t="str">
        <f>CONCATENATE(SUMIF($C$6:$C29,C29,$G$6:$G$370)," / ",SUMIF($C$6:$C$370,C29,$G$6:$G$370))</f>
        <v>0 / 0</v>
      </c>
      <c r="M29" s="28" t="str">
        <f>CONCATENATE(SUMIF($D$6:$D29,D29,$G$6:$G$370)," / ",SUMIF($D$6:$D$370,D29,$G$6:$G$370))</f>
        <v>0 / 0</v>
      </c>
      <c r="N29" s="28" t="str">
        <f>CONCATENATE(SUM($G$6:$G29)," / ",SUM($G$6:$G$370))</f>
        <v>0 / 2244,5</v>
      </c>
      <c r="O29" s="24"/>
      <c r="P29" s="224">
        <v>0</v>
      </c>
      <c r="Q29" s="28" t="str">
        <f>CONCATENATE(SUMIF($C$6:$C29,C29,$P$6:$P$370)," / ",SUMIF($C$6:$C$370,C29,$P$6:$P$370))</f>
        <v>0 / 0</v>
      </c>
      <c r="R29" s="28" t="str">
        <f>CONCATENATE(SUMIF($D$6:$D29,$D29,$P$6:$P$370)," / ",SUMIF($D$6:$D$370,$D29,$P$6:$P$370))</f>
        <v>0 / 0</v>
      </c>
      <c r="S29" s="28" t="str">
        <f>CONCATENATE(SUM($P$6:$P29)," / ",SUM($P$6:$P$370))</f>
        <v>0 / 30850</v>
      </c>
    </row>
    <row r="30" spans="2:19" ht="16" thickBot="1">
      <c r="B30" s="239">
        <f t="shared" si="2"/>
        <v>42064</v>
      </c>
      <c r="C30" s="193">
        <f t="shared" si="0"/>
        <v>10</v>
      </c>
      <c r="D30" s="193">
        <f t="shared" si="1"/>
        <v>3</v>
      </c>
      <c r="E30" s="194">
        <v>26</v>
      </c>
      <c r="F30" s="195" t="s">
        <v>369</v>
      </c>
      <c r="G30" s="193"/>
      <c r="H30" s="194" t="str">
        <f>CONCATENATE(SUMIF($C$6:$C30,C30,$E$6:$E$370)," / ",SUMIF($C$6:$C$370,C30,$E$6:$E$370))</f>
        <v>26 / 87</v>
      </c>
      <c r="I30" s="194" t="str">
        <f>CONCATENATE(SUMIF($D$6:$D30,D30,$E$6:$E$370)," / ",SUMIF($D$6:$D$370,D30,$E$6:$E$370))</f>
        <v>26 / 212</v>
      </c>
      <c r="J30" s="194" t="str">
        <f>CONCATENATE(SUM($E$6:$E30)," / ",SUM($E$6:$E$370))</f>
        <v>246 / 2271</v>
      </c>
      <c r="K30" s="196" t="s">
        <v>381</v>
      </c>
      <c r="L30" s="28" t="str">
        <f>CONCATENATE(SUMIF($C$6:$C30,C30,$G$6:$G$370)," / ",SUMIF($C$6:$C$370,C30,$G$6:$G$370))</f>
        <v>0 / 0</v>
      </c>
      <c r="M30" s="28" t="str">
        <f>CONCATENATE(SUMIF($D$6:$D30,D30,$G$6:$G$370)," / ",SUMIF($D$6:$D$370,D30,$G$6:$G$370))</f>
        <v>0 / 0</v>
      </c>
      <c r="N30" s="28" t="str">
        <f>CONCATENATE(SUM($G$6:$G30)," / ",SUM($G$6:$G$370))</f>
        <v>0 / 2244,5</v>
      </c>
      <c r="O30" s="24"/>
      <c r="P30" s="224">
        <v>0</v>
      </c>
      <c r="Q30" s="28" t="str">
        <f>CONCATENATE(SUMIF($C$6:$C30,C30,$P$6:$P$370)," / ",SUMIF($C$6:$C$370,C30,$P$6:$P$370))</f>
        <v>0 / 0</v>
      </c>
      <c r="R30" s="28" t="str">
        <f>CONCATENATE(SUMIF($D$6:$D30,$D30,$P$6:$P$370)," / ",SUMIF($D$6:$D$370,$D30,$P$6:$P$370))</f>
        <v>0 / 0</v>
      </c>
      <c r="S30" s="28" t="str">
        <f>CONCATENATE(SUM($P$6:$P30)," / ",SUM($P$6:$P$370))</f>
        <v>0 / 30850</v>
      </c>
    </row>
    <row r="31" spans="2:19" ht="13" thickBot="1">
      <c r="B31" s="238">
        <f t="shared" si="2"/>
        <v>42065</v>
      </c>
      <c r="C31" s="124">
        <f t="shared" si="0"/>
        <v>10</v>
      </c>
      <c r="D31" s="124">
        <f t="shared" si="1"/>
        <v>3</v>
      </c>
      <c r="E31" s="28">
        <v>15</v>
      </c>
      <c r="F31" s="27" t="s">
        <v>374</v>
      </c>
      <c r="G31" s="124"/>
      <c r="H31" s="28" t="str">
        <f>CONCATENATE(SUMIF($C$6:$C31,C31,$E$6:$E$370)," / ",SUMIF($C$6:$C$370,C31,$E$6:$E$370))</f>
        <v>41 / 87</v>
      </c>
      <c r="I31" s="28" t="str">
        <f>CONCATENATE(SUMIF($D$6:$D31,D31,$E$6:$E$370)," / ",SUMIF($D$6:$D$370,D31,$E$6:$E$370))</f>
        <v>41 / 212</v>
      </c>
      <c r="J31" s="28" t="str">
        <f>CONCATENATE(SUM($E$6:$E31)," / ",SUM($E$6:$E$370))</f>
        <v>261 / 2271</v>
      </c>
      <c r="K31" s="25" t="s">
        <v>381</v>
      </c>
      <c r="L31" s="28" t="str">
        <f>CONCATENATE(SUMIF($C$6:$C31,C31,$G$6:$G$370)," / ",SUMIF($C$6:$C$370,C31,$G$6:$G$370))</f>
        <v>0 / 0</v>
      </c>
      <c r="M31" s="28" t="str">
        <f>CONCATENATE(SUMIF($D$6:$D31,D31,$G$6:$G$370)," / ",SUMIF($D$6:$D$370,D31,$G$6:$G$370))</f>
        <v>0 / 0</v>
      </c>
      <c r="N31" s="28" t="str">
        <f>CONCATENATE(SUM($G$6:$G31)," / ",SUM($G$6:$G$370))</f>
        <v>0 / 2244,5</v>
      </c>
      <c r="O31" s="24"/>
      <c r="P31" s="224">
        <v>0</v>
      </c>
      <c r="Q31" s="28" t="str">
        <f>CONCATENATE(SUMIF($C$6:$C31,C31,$P$6:$P$370)," / ",SUMIF($C$6:$C$370,C31,$P$6:$P$370))</f>
        <v>0 / 0</v>
      </c>
      <c r="R31" s="28" t="str">
        <f>CONCATENATE(SUMIF($D$6:$D31,$D31,$P$6:$P$370)," / ",SUMIF($D$6:$D$370,$D31,$P$6:$P$370))</f>
        <v>0 / 0</v>
      </c>
      <c r="S31" s="28" t="str">
        <f>CONCATENATE(SUM($P$6:$P31)," / ",SUM($P$6:$P$370))</f>
        <v>0 / 30850</v>
      </c>
    </row>
    <row r="32" spans="2:19" ht="13" thickBot="1">
      <c r="B32" s="238">
        <f t="shared" si="2"/>
        <v>42066</v>
      </c>
      <c r="C32" s="124">
        <f t="shared" si="0"/>
        <v>10</v>
      </c>
      <c r="D32" s="124">
        <f t="shared" si="1"/>
        <v>3</v>
      </c>
      <c r="E32" s="28">
        <v>0</v>
      </c>
      <c r="F32" s="192"/>
      <c r="G32" s="124"/>
      <c r="H32" s="28" t="str">
        <f>CONCATENATE(SUMIF($C$6:$C32,C32,$E$6:$E$370)," / ",SUMIF($C$6:$C$370,C32,$E$6:$E$370))</f>
        <v>41 / 87</v>
      </c>
      <c r="I32" s="28" t="str">
        <f>CONCATENATE(SUMIF($D$6:$D32,D32,$E$6:$E$370)," / ",SUMIF($D$6:$D$370,D32,$E$6:$E$370))</f>
        <v>41 / 212</v>
      </c>
      <c r="J32" s="28" t="str">
        <f>CONCATENATE(SUM($E$6:$E32)," / ",SUM($E$6:$E$370))</f>
        <v>261 / 2271</v>
      </c>
      <c r="K32" s="24"/>
      <c r="L32" s="28" t="str">
        <f>CONCATENATE(SUMIF($C$6:$C32,C32,$G$6:$G$370)," / ",SUMIF($C$6:$C$370,C32,$G$6:$G$370))</f>
        <v>0 / 0</v>
      </c>
      <c r="M32" s="28" t="str">
        <f>CONCATENATE(SUMIF($D$6:$D32,D32,$G$6:$G$370)," / ",SUMIF($D$6:$D$370,D32,$G$6:$G$370))</f>
        <v>0 / 0</v>
      </c>
      <c r="N32" s="28" t="str">
        <f>CONCATENATE(SUM($G$6:$G32)," / ",SUM($G$6:$G$370))</f>
        <v>0 / 2244,5</v>
      </c>
      <c r="O32" s="24"/>
      <c r="P32" s="224">
        <v>0</v>
      </c>
      <c r="Q32" s="28" t="str">
        <f>CONCATENATE(SUMIF($C$6:$C32,C32,$P$6:$P$370)," / ",SUMIF($C$6:$C$370,C32,$P$6:$P$370))</f>
        <v>0 / 0</v>
      </c>
      <c r="R32" s="28" t="str">
        <f>CONCATENATE(SUMIF($D$6:$D32,$D32,$P$6:$P$370)," / ",SUMIF($D$6:$D$370,$D32,$P$6:$P$370))</f>
        <v>0 / 0</v>
      </c>
      <c r="S32" s="28" t="str">
        <f>CONCATENATE(SUM($P$6:$P32)," / ",SUM($P$6:$P$370))</f>
        <v>0 / 30850</v>
      </c>
    </row>
    <row r="33" spans="2:19" ht="13" thickBot="1">
      <c r="B33" s="238">
        <f t="shared" si="2"/>
        <v>42067</v>
      </c>
      <c r="C33" s="124">
        <f t="shared" si="0"/>
        <v>10</v>
      </c>
      <c r="D33" s="124">
        <f t="shared" si="1"/>
        <v>3</v>
      </c>
      <c r="E33" s="28">
        <v>14</v>
      </c>
      <c r="F33" s="27" t="s">
        <v>423</v>
      </c>
      <c r="G33" s="124"/>
      <c r="H33" s="28" t="str">
        <f>CONCATENATE(SUMIF($C$6:$C33,C33,$E$6:$E$370)," / ",SUMIF($C$6:$C$370,C33,$E$6:$E$370))</f>
        <v>55 / 87</v>
      </c>
      <c r="I33" s="28" t="str">
        <f>CONCATENATE(SUMIF($D$6:$D33,D33,$E$6:$E$370)," / ",SUMIF($D$6:$D$370,D33,$E$6:$E$370))</f>
        <v>55 / 212</v>
      </c>
      <c r="J33" s="28" t="str">
        <f>CONCATENATE(SUM($E$6:$E33)," / ",SUM($E$6:$E$370))</f>
        <v>275 / 2271</v>
      </c>
      <c r="K33" s="25" t="s">
        <v>381</v>
      </c>
      <c r="L33" s="28" t="str">
        <f>CONCATENATE(SUMIF($C$6:$C33,C33,$G$6:$G$370)," / ",SUMIF($C$6:$C$370,C33,$G$6:$G$370))</f>
        <v>0 / 0</v>
      </c>
      <c r="M33" s="28" t="str">
        <f>CONCATENATE(SUMIF($D$6:$D33,D33,$G$6:$G$370)," / ",SUMIF($D$6:$D$370,D33,$G$6:$G$370))</f>
        <v>0 / 0</v>
      </c>
      <c r="N33" s="28" t="str">
        <f>CONCATENATE(SUM($G$6:$G33)," / ",SUM($G$6:$G$370))</f>
        <v>0 / 2244,5</v>
      </c>
      <c r="O33" s="24"/>
      <c r="P33" s="224">
        <v>0</v>
      </c>
      <c r="Q33" s="28" t="str">
        <f>CONCATENATE(SUMIF($C$6:$C33,C33,$P$6:$P$370)," / ",SUMIF($C$6:$C$370,C33,$P$6:$P$370))</f>
        <v>0 / 0</v>
      </c>
      <c r="R33" s="28" t="str">
        <f>CONCATENATE(SUMIF($D$6:$D33,$D33,$P$6:$P$370)," / ",SUMIF($D$6:$D$370,$D33,$P$6:$P$370))</f>
        <v>0 / 0</v>
      </c>
      <c r="S33" s="28" t="str">
        <f>CONCATENATE(SUM($P$6:$P33)," / ",SUM($P$6:$P$370))</f>
        <v>0 / 30850</v>
      </c>
    </row>
    <row r="34" spans="2:19" ht="13" thickBot="1">
      <c r="B34" s="238">
        <f t="shared" si="2"/>
        <v>42068</v>
      </c>
      <c r="C34" s="124">
        <f t="shared" si="0"/>
        <v>10</v>
      </c>
      <c r="D34" s="124">
        <f t="shared" si="1"/>
        <v>3</v>
      </c>
      <c r="E34" s="28">
        <v>10</v>
      </c>
      <c r="F34" s="27" t="s">
        <v>422</v>
      </c>
      <c r="G34" s="124"/>
      <c r="H34" s="28" t="str">
        <f>CONCATENATE(SUMIF($C$6:$C34,C34,$E$6:$E$370)," / ",SUMIF($C$6:$C$370,C34,$E$6:$E$370))</f>
        <v>65 / 87</v>
      </c>
      <c r="I34" s="28" t="str">
        <f>CONCATENATE(SUMIF($D$6:$D34,D34,$E$6:$E$370)," / ",SUMIF($D$6:$D$370,D34,$E$6:$E$370))</f>
        <v>65 / 212</v>
      </c>
      <c r="J34" s="28" t="str">
        <f>CONCATENATE(SUM($E$6:$E34)," / ",SUM($E$6:$E$370))</f>
        <v>285 / 2271</v>
      </c>
      <c r="K34" s="24" t="s">
        <v>381</v>
      </c>
      <c r="L34" s="28" t="str">
        <f>CONCATENATE(SUMIF($C$6:$C34,C34,$G$6:$G$370)," / ",SUMIF($C$6:$C$370,C34,$G$6:$G$370))</f>
        <v>0 / 0</v>
      </c>
      <c r="M34" s="28" t="str">
        <f>CONCATENATE(SUMIF($D$6:$D34,D34,$G$6:$G$370)," / ",SUMIF($D$6:$D$370,D34,$G$6:$G$370))</f>
        <v>0 / 0</v>
      </c>
      <c r="N34" s="28" t="str">
        <f>CONCATENATE(SUM($G$6:$G34)," / ",SUM($G$6:$G$370))</f>
        <v>0 / 2244,5</v>
      </c>
      <c r="O34" s="24"/>
      <c r="P34" s="224">
        <v>0</v>
      </c>
      <c r="Q34" s="28" t="str">
        <f>CONCATENATE(SUMIF($C$6:$C34,C34,$P$6:$P$370)," / ",SUMIF($C$6:$C$370,C34,$P$6:$P$370))</f>
        <v>0 / 0</v>
      </c>
      <c r="R34" s="28" t="str">
        <f>CONCATENATE(SUMIF($D$6:$D34,$D34,$P$6:$P$370)," / ",SUMIF($D$6:$D$370,$D34,$P$6:$P$370))</f>
        <v>0 / 0</v>
      </c>
      <c r="S34" s="28" t="str">
        <f>CONCATENATE(SUM($P$6:$P34)," / ",SUM($P$6:$P$370))</f>
        <v>0 / 30850</v>
      </c>
    </row>
    <row r="35" spans="2:19" ht="13" thickBot="1">
      <c r="B35" s="238">
        <f t="shared" si="2"/>
        <v>42069</v>
      </c>
      <c r="C35" s="124">
        <f t="shared" si="0"/>
        <v>10</v>
      </c>
      <c r="D35" s="124">
        <f t="shared" si="1"/>
        <v>3</v>
      </c>
      <c r="E35" s="28">
        <v>0</v>
      </c>
      <c r="F35" s="192"/>
      <c r="G35" s="124"/>
      <c r="H35" s="28" t="str">
        <f>CONCATENATE(SUMIF($C$6:$C35,C35,$E$6:$E$370)," / ",SUMIF($C$6:$C$370,C35,$E$6:$E$370))</f>
        <v>65 / 87</v>
      </c>
      <c r="I35" s="28" t="str">
        <f>CONCATENATE(SUMIF($D$6:$D35,D35,$E$6:$E$370)," / ",SUMIF($D$6:$D$370,D35,$E$6:$E$370))</f>
        <v>65 / 212</v>
      </c>
      <c r="J35" s="28" t="str">
        <f>CONCATENATE(SUM($E$6:$E35)," / ",SUM($E$6:$E$370))</f>
        <v>285 / 2271</v>
      </c>
      <c r="K35" s="24"/>
      <c r="L35" s="28" t="str">
        <f>CONCATENATE(SUMIF($C$6:$C35,C35,$G$6:$G$370)," / ",SUMIF($C$6:$C$370,C35,$G$6:$G$370))</f>
        <v>0 / 0</v>
      </c>
      <c r="M35" s="28" t="str">
        <f>CONCATENATE(SUMIF($D$6:$D35,D35,$G$6:$G$370)," / ",SUMIF($D$6:$D$370,D35,$G$6:$G$370))</f>
        <v>0 / 0</v>
      </c>
      <c r="N35" s="28" t="str">
        <f>CONCATENATE(SUM($G$6:$G35)," / ",SUM($G$6:$G$370))</f>
        <v>0 / 2244,5</v>
      </c>
      <c r="O35" s="24"/>
      <c r="P35" s="224">
        <v>0</v>
      </c>
      <c r="Q35" s="28" t="str">
        <f>CONCATENATE(SUMIF($C$6:$C35,C35,$P$6:$P$370)," / ",SUMIF($C$6:$C$370,C35,$P$6:$P$370))</f>
        <v>0 / 0</v>
      </c>
      <c r="R35" s="28" t="str">
        <f>CONCATENATE(SUMIF($D$6:$D35,$D35,$P$6:$P$370)," / ",SUMIF($D$6:$D$370,$D35,$P$6:$P$370))</f>
        <v>0 / 0</v>
      </c>
      <c r="S35" s="28" t="str">
        <f>CONCATENATE(SUM($P$6:$P35)," / ",SUM($P$6:$P$370))</f>
        <v>0 / 30850</v>
      </c>
    </row>
    <row r="36" spans="2:19" ht="13" thickBot="1">
      <c r="B36" s="238">
        <f t="shared" si="2"/>
        <v>42070</v>
      </c>
      <c r="C36" s="124">
        <f t="shared" si="0"/>
        <v>10</v>
      </c>
      <c r="D36" s="124">
        <f t="shared" si="1"/>
        <v>3</v>
      </c>
      <c r="E36" s="28">
        <v>22</v>
      </c>
      <c r="F36" s="27" t="s">
        <v>424</v>
      </c>
      <c r="G36" s="124"/>
      <c r="H36" s="28" t="str">
        <f>CONCATENATE(SUMIF($C$6:$C36,C36,$E$6:$E$370)," / ",SUMIF($C$6:$C$370,C36,$E$6:$E$370))</f>
        <v>87 / 87</v>
      </c>
      <c r="I36" s="28" t="str">
        <f>CONCATENATE(SUMIF($D$6:$D36,D36,$E$6:$E$370)," / ",SUMIF($D$6:$D$370,D36,$E$6:$E$370))</f>
        <v>87 / 212</v>
      </c>
      <c r="J36" s="28" t="str">
        <f>CONCATENATE(SUM($E$6:$E36)," / ",SUM($E$6:$E$370))</f>
        <v>307 / 2271</v>
      </c>
      <c r="K36" s="24" t="s">
        <v>381</v>
      </c>
      <c r="L36" s="28" t="str">
        <f>CONCATENATE(SUMIF($C$6:$C36,C36,$G$6:$G$370)," / ",SUMIF($C$6:$C$370,C36,$G$6:$G$370))</f>
        <v>0 / 0</v>
      </c>
      <c r="M36" s="28" t="str">
        <f>CONCATENATE(SUMIF($D$6:$D36,D36,$G$6:$G$370)," / ",SUMIF($D$6:$D$370,D36,$G$6:$G$370))</f>
        <v>0 / 0</v>
      </c>
      <c r="N36" s="28" t="str">
        <f>CONCATENATE(SUM($G$6:$G36)," / ",SUM($G$6:$G$370))</f>
        <v>0 / 2244,5</v>
      </c>
      <c r="O36" s="24"/>
      <c r="P36" s="224">
        <v>0</v>
      </c>
      <c r="Q36" s="28" t="str">
        <f>CONCATENATE(SUMIF($C$6:$C36,C36,$P$6:$P$370)," / ",SUMIF($C$6:$C$370,C36,$P$6:$P$370))</f>
        <v>0 / 0</v>
      </c>
      <c r="R36" s="28" t="str">
        <f>CONCATENATE(SUMIF($D$6:$D36,$D36,$P$6:$P$370)," / ",SUMIF($D$6:$D$370,$D36,$P$6:$P$370))</f>
        <v>0 / 0</v>
      </c>
      <c r="S36" s="28" t="str">
        <f>CONCATENATE(SUM($P$6:$P36)," / ",SUM($P$6:$P$370))</f>
        <v>0 / 30850</v>
      </c>
    </row>
    <row r="37" spans="2:19" ht="13" thickBot="1">
      <c r="B37" s="238">
        <f t="shared" si="2"/>
        <v>42071</v>
      </c>
      <c r="C37" s="124">
        <f t="shared" si="0"/>
        <v>11</v>
      </c>
      <c r="D37" s="124">
        <f t="shared" si="1"/>
        <v>3</v>
      </c>
      <c r="E37" s="28">
        <v>0</v>
      </c>
      <c r="F37" s="192"/>
      <c r="G37" s="124"/>
      <c r="H37" s="28" t="str">
        <f>CONCATENATE(SUMIF($C$6:$C37,C37,$E$6:$E$370)," / ",SUMIF($C$6:$C$370,C37,$E$6:$E$370))</f>
        <v>0 / 47</v>
      </c>
      <c r="I37" s="28" t="str">
        <f>CONCATENATE(SUMIF($D$6:$D37,D37,$E$6:$E$370)," / ",SUMIF($D$6:$D$370,D37,$E$6:$E$370))</f>
        <v>87 / 212</v>
      </c>
      <c r="J37" s="28" t="str">
        <f>CONCATENATE(SUM($E$6:$E37)," / ",SUM($E$6:$E$370))</f>
        <v>307 / 2271</v>
      </c>
      <c r="K37" s="24"/>
      <c r="L37" s="28" t="str">
        <f>CONCATENATE(SUMIF($C$6:$C37,C37,$G$6:$G$370)," / ",SUMIF($C$6:$C$370,C37,$G$6:$G$370))</f>
        <v>0 / 0</v>
      </c>
      <c r="M37" s="28" t="str">
        <f>CONCATENATE(SUMIF($D$6:$D37,D37,$G$6:$G$370)," / ",SUMIF($D$6:$D$370,D37,$G$6:$G$370))</f>
        <v>0 / 0</v>
      </c>
      <c r="N37" s="28" t="str">
        <f>CONCATENATE(SUM($G$6:$G37)," / ",SUM($G$6:$G$370))</f>
        <v>0 / 2244,5</v>
      </c>
      <c r="O37" s="24"/>
      <c r="P37" s="224">
        <v>0</v>
      </c>
      <c r="Q37" s="28" t="str">
        <f>CONCATENATE(SUMIF($C$6:$C37,C37,$P$6:$P$370)," / ",SUMIF($C$6:$C$370,C37,$P$6:$P$370))</f>
        <v>0 / 0</v>
      </c>
      <c r="R37" s="28" t="str">
        <f>CONCATENATE(SUMIF($D$6:$D37,$D37,$P$6:$P$370)," / ",SUMIF($D$6:$D$370,$D37,$P$6:$P$370))</f>
        <v>0 / 0</v>
      </c>
      <c r="S37" s="28" t="str">
        <f>CONCATENATE(SUM($P$6:$P37)," / ",SUM($P$6:$P$370))</f>
        <v>0 / 30850</v>
      </c>
    </row>
    <row r="38" spans="2:19" ht="13" thickBot="1">
      <c r="B38" s="238">
        <f t="shared" si="2"/>
        <v>42072</v>
      </c>
      <c r="C38" s="124">
        <f t="shared" si="0"/>
        <v>11</v>
      </c>
      <c r="D38" s="124">
        <f t="shared" si="1"/>
        <v>3</v>
      </c>
      <c r="E38" s="28">
        <v>9</v>
      </c>
      <c r="F38" s="27" t="s">
        <v>425</v>
      </c>
      <c r="G38" s="124"/>
      <c r="H38" s="28" t="str">
        <f>CONCATENATE(SUMIF($C$6:$C38,C38,$E$6:$E$370)," / ",SUMIF($C$6:$C$370,C38,$E$6:$E$370))</f>
        <v>9 / 47</v>
      </c>
      <c r="I38" s="28" t="str">
        <f>CONCATENATE(SUMIF($D$6:$D38,D38,$E$6:$E$370)," / ",SUMIF($D$6:$D$370,D38,$E$6:$E$370))</f>
        <v>96 / 212</v>
      </c>
      <c r="J38" s="28" t="str">
        <f>CONCATENATE(SUM($E$6:$E38)," / ",SUM($E$6:$E$370))</f>
        <v>316 / 2271</v>
      </c>
      <c r="K38" s="24" t="s">
        <v>380</v>
      </c>
      <c r="L38" s="28" t="str">
        <f>CONCATENATE(SUMIF($C$6:$C38,C38,$G$6:$G$370)," / ",SUMIF($C$6:$C$370,C38,$G$6:$G$370))</f>
        <v>0 / 0</v>
      </c>
      <c r="M38" s="28" t="str">
        <f>CONCATENATE(SUMIF($D$6:$D38,D38,$G$6:$G$370)," / ",SUMIF($D$6:$D$370,D38,$G$6:$G$370))</f>
        <v>0 / 0</v>
      </c>
      <c r="N38" s="28" t="str">
        <f>CONCATENATE(SUM($G$6:$G38)," / ",SUM($G$6:$G$370))</f>
        <v>0 / 2244,5</v>
      </c>
      <c r="O38" s="24"/>
      <c r="P38" s="224">
        <v>0</v>
      </c>
      <c r="Q38" s="28" t="str">
        <f>CONCATENATE(SUMIF($C$6:$C38,C38,$P$6:$P$370)," / ",SUMIF($C$6:$C$370,C38,$P$6:$P$370))</f>
        <v>0 / 0</v>
      </c>
      <c r="R38" s="28" t="str">
        <f>CONCATENATE(SUMIF($D$6:$D38,$D38,$P$6:$P$370)," / ",SUMIF($D$6:$D$370,$D38,$P$6:$P$370))</f>
        <v>0 / 0</v>
      </c>
      <c r="S38" s="28" t="str">
        <f>CONCATENATE(SUM($P$6:$P38)," / ",SUM($P$6:$P$370))</f>
        <v>0 / 30850</v>
      </c>
    </row>
    <row r="39" spans="2:19" ht="13" thickBot="1">
      <c r="B39" s="238">
        <f t="shared" si="2"/>
        <v>42073</v>
      </c>
      <c r="C39" s="124">
        <f t="shared" si="0"/>
        <v>11</v>
      </c>
      <c r="D39" s="124">
        <f t="shared" si="1"/>
        <v>3</v>
      </c>
      <c r="E39" s="28">
        <v>20</v>
      </c>
      <c r="F39" s="27" t="s">
        <v>426</v>
      </c>
      <c r="G39" s="124"/>
      <c r="H39" s="28" t="str">
        <f>CONCATENATE(SUMIF($C$6:$C39,C39,$E$6:$E$370)," / ",SUMIF($C$6:$C$370,C39,$E$6:$E$370))</f>
        <v>29 / 47</v>
      </c>
      <c r="I39" s="28" t="str">
        <f>CONCATENATE(SUMIF($D$6:$D39,D39,$E$6:$E$370)," / ",SUMIF($D$6:$D$370,D39,$E$6:$E$370))</f>
        <v>116 / 212</v>
      </c>
      <c r="J39" s="28" t="str">
        <f>CONCATENATE(SUM($E$6:$E39)," / ",SUM($E$6:$E$370))</f>
        <v>336 / 2271</v>
      </c>
      <c r="K39" s="24" t="s">
        <v>381</v>
      </c>
      <c r="L39" s="28" t="str">
        <f>CONCATENATE(SUMIF($C$6:$C39,C39,$G$6:$G$370)," / ",SUMIF($C$6:$C$370,C39,$G$6:$G$370))</f>
        <v>0 / 0</v>
      </c>
      <c r="M39" s="28" t="str">
        <f>CONCATENATE(SUMIF($D$6:$D39,D39,$G$6:$G$370)," / ",SUMIF($D$6:$D$370,D39,$G$6:$G$370))</f>
        <v>0 / 0</v>
      </c>
      <c r="N39" s="28" t="str">
        <f>CONCATENATE(SUM($G$6:$G39)," / ",SUM($G$6:$G$370))</f>
        <v>0 / 2244,5</v>
      </c>
      <c r="O39" s="24"/>
      <c r="P39" s="224">
        <v>0</v>
      </c>
      <c r="Q39" s="28" t="str">
        <f>CONCATENATE(SUMIF($C$6:$C39,C39,$P$6:$P$370)," / ",SUMIF($C$6:$C$370,C39,$P$6:$P$370))</f>
        <v>0 / 0</v>
      </c>
      <c r="R39" s="28" t="str">
        <f>CONCATENATE(SUMIF($D$6:$D39,$D39,$P$6:$P$370)," / ",SUMIF($D$6:$D$370,$D39,$P$6:$P$370))</f>
        <v>0 / 0</v>
      </c>
      <c r="S39" s="28" t="str">
        <f>CONCATENATE(SUM($P$6:$P39)," / ",SUM($P$6:$P$370))</f>
        <v>0 / 30850</v>
      </c>
    </row>
    <row r="40" spans="2:19" ht="13" thickBot="1">
      <c r="B40" s="238">
        <f t="shared" si="2"/>
        <v>42074</v>
      </c>
      <c r="C40" s="124">
        <f t="shared" si="0"/>
        <v>11</v>
      </c>
      <c r="D40" s="124">
        <f t="shared" si="1"/>
        <v>3</v>
      </c>
      <c r="E40" s="28">
        <v>0</v>
      </c>
      <c r="F40" s="192"/>
      <c r="G40" s="124"/>
      <c r="H40" s="28" t="str">
        <f>CONCATENATE(SUMIF($C$6:$C40,C40,$E$6:$E$370)," / ",SUMIF($C$6:$C$370,C40,$E$6:$E$370))</f>
        <v>29 / 47</v>
      </c>
      <c r="I40" s="28" t="str">
        <f>CONCATENATE(SUMIF($D$6:$D40,D40,$E$6:$E$370)," / ",SUMIF($D$6:$D$370,D40,$E$6:$E$370))</f>
        <v>116 / 212</v>
      </c>
      <c r="J40" s="28" t="str">
        <f>CONCATENATE(SUM($E$6:$E40)," / ",SUM($E$6:$E$370))</f>
        <v>336 / 2271</v>
      </c>
      <c r="K40" s="24"/>
      <c r="L40" s="28" t="str">
        <f>CONCATENATE(SUMIF($C$6:$C40,C40,$G$6:$G$370)," / ",SUMIF($C$6:$C$370,C40,$G$6:$G$370))</f>
        <v>0 / 0</v>
      </c>
      <c r="M40" s="28" t="str">
        <f>CONCATENATE(SUMIF($D$6:$D40,D40,$G$6:$G$370)," / ",SUMIF($D$6:$D$370,D40,$G$6:$G$370))</f>
        <v>0 / 0</v>
      </c>
      <c r="N40" s="28" t="str">
        <f>CONCATENATE(SUM($G$6:$G40)," / ",SUM($G$6:$G$370))</f>
        <v>0 / 2244,5</v>
      </c>
      <c r="O40" s="24"/>
      <c r="P40" s="224">
        <v>0</v>
      </c>
      <c r="Q40" s="28" t="str">
        <f>CONCATENATE(SUMIF($C$6:$C40,C40,$P$6:$P$370)," / ",SUMIF($C$6:$C$370,C40,$P$6:$P$370))</f>
        <v>0 / 0</v>
      </c>
      <c r="R40" s="28" t="str">
        <f>CONCATENATE(SUMIF($D$6:$D40,$D40,$P$6:$P$370)," / ",SUMIF($D$6:$D$370,$D40,$P$6:$P$370))</f>
        <v>0 / 0</v>
      </c>
      <c r="S40" s="28" t="str">
        <f>CONCATENATE(SUM($P$6:$P40)," / ",SUM($P$6:$P$370))</f>
        <v>0 / 30850</v>
      </c>
    </row>
    <row r="41" spans="2:19" ht="13" thickBot="1">
      <c r="B41" s="238">
        <f t="shared" si="2"/>
        <v>42075</v>
      </c>
      <c r="C41" s="124">
        <f t="shared" si="0"/>
        <v>11</v>
      </c>
      <c r="D41" s="124">
        <f t="shared" si="1"/>
        <v>3</v>
      </c>
      <c r="E41" s="28">
        <v>8</v>
      </c>
      <c r="F41" s="27" t="s">
        <v>430</v>
      </c>
      <c r="G41" s="124"/>
      <c r="H41" s="28" t="str">
        <f>CONCATENATE(SUMIF($C$6:$C41,C41,$E$6:$E$370)," / ",SUMIF($C$6:$C$370,C41,$E$6:$E$370))</f>
        <v>37 / 47</v>
      </c>
      <c r="I41" s="28" t="str">
        <f>CONCATENATE(SUMIF($D$6:$D41,D41,$E$6:$E$370)," / ",SUMIF($D$6:$D$370,D41,$E$6:$E$370))</f>
        <v>124 / 212</v>
      </c>
      <c r="J41" s="28" t="str">
        <f>CONCATENATE(SUM($E$6:$E41)," / ",SUM($E$6:$E$370))</f>
        <v>344 / 2271</v>
      </c>
      <c r="K41" s="24" t="s">
        <v>380</v>
      </c>
      <c r="L41" s="28" t="str">
        <f>CONCATENATE(SUMIF($C$6:$C41,C41,$G$6:$G$370)," / ",SUMIF($C$6:$C$370,C41,$G$6:$G$370))</f>
        <v>0 / 0</v>
      </c>
      <c r="M41" s="28" t="str">
        <f>CONCATENATE(SUMIF($D$6:$D41,D41,$G$6:$G$370)," / ",SUMIF($D$6:$D$370,D41,$G$6:$G$370))</f>
        <v>0 / 0</v>
      </c>
      <c r="N41" s="28" t="str">
        <f>CONCATENATE(SUM($G$6:$G41)," / ",SUM($G$6:$G$370))</f>
        <v>0 / 2244,5</v>
      </c>
      <c r="O41" s="24"/>
      <c r="P41" s="224">
        <v>0</v>
      </c>
      <c r="Q41" s="28" t="str">
        <f>CONCATENATE(SUMIF($C$6:$C41,C41,$P$6:$P$370)," / ",SUMIF($C$6:$C$370,C41,$P$6:$P$370))</f>
        <v>0 / 0</v>
      </c>
      <c r="R41" s="28" t="str">
        <f>CONCATENATE(SUMIF($D$6:$D41,$D41,$P$6:$P$370)," / ",SUMIF($D$6:$D$370,$D41,$P$6:$P$370))</f>
        <v>0 / 0</v>
      </c>
      <c r="S41" s="28" t="str">
        <f>CONCATENATE(SUM($P$6:$P41)," / ",SUM($P$6:$P$370))</f>
        <v>0 / 30850</v>
      </c>
    </row>
    <row r="42" spans="2:19" ht="13" thickBot="1">
      <c r="B42" s="238">
        <f t="shared" si="2"/>
        <v>42076</v>
      </c>
      <c r="C42" s="124">
        <f t="shared" si="0"/>
        <v>11</v>
      </c>
      <c r="D42" s="124">
        <f t="shared" si="1"/>
        <v>3</v>
      </c>
      <c r="E42" s="28">
        <v>0</v>
      </c>
      <c r="F42" s="192"/>
      <c r="G42" s="124"/>
      <c r="H42" s="28" t="str">
        <f>CONCATENATE(SUMIF($C$6:$C42,C42,$E$6:$E$370)," / ",SUMIF($C$6:$C$370,C42,$E$6:$E$370))</f>
        <v>37 / 47</v>
      </c>
      <c r="I42" s="28" t="str">
        <f>CONCATENATE(SUMIF($D$6:$D42,D42,$E$6:$E$370)," / ",SUMIF($D$6:$D$370,D42,$E$6:$E$370))</f>
        <v>124 / 212</v>
      </c>
      <c r="J42" s="28" t="str">
        <f>CONCATENATE(SUM($E$6:$E42)," / ",SUM($E$6:$E$370))</f>
        <v>344 / 2271</v>
      </c>
      <c r="K42" s="24"/>
      <c r="L42" s="28" t="str">
        <f>CONCATENATE(SUMIF($C$6:$C42,C42,$G$6:$G$370)," / ",SUMIF($C$6:$C$370,C42,$G$6:$G$370))</f>
        <v>0 / 0</v>
      </c>
      <c r="M42" s="28" t="str">
        <f>CONCATENATE(SUMIF($D$6:$D42,D42,$G$6:$G$370)," / ",SUMIF($D$6:$D$370,D42,$G$6:$G$370))</f>
        <v>0 / 0</v>
      </c>
      <c r="N42" s="28" t="str">
        <f>CONCATENATE(SUM($G$6:$G42)," / ",SUM($G$6:$G$370))</f>
        <v>0 / 2244,5</v>
      </c>
      <c r="O42" s="24"/>
      <c r="P42" s="224">
        <v>0</v>
      </c>
      <c r="Q42" s="28" t="str">
        <f>CONCATENATE(SUMIF($C$6:$C42,C42,$P$6:$P$370)," / ",SUMIF($C$6:$C$370,C42,$P$6:$P$370))</f>
        <v>0 / 0</v>
      </c>
      <c r="R42" s="28" t="str">
        <f>CONCATENATE(SUMIF($D$6:$D42,$D42,$P$6:$P$370)," / ",SUMIF($D$6:$D$370,$D42,$P$6:$P$370))</f>
        <v>0 / 0</v>
      </c>
      <c r="S42" s="28" t="str">
        <f>CONCATENATE(SUM($P$6:$P42)," / ",SUM($P$6:$P$370))</f>
        <v>0 / 30850</v>
      </c>
    </row>
    <row r="43" spans="2:19" ht="13" thickBot="1">
      <c r="B43" s="238">
        <f t="shared" si="2"/>
        <v>42077</v>
      </c>
      <c r="C43" s="124">
        <f t="shared" si="0"/>
        <v>11</v>
      </c>
      <c r="D43" s="124">
        <f t="shared" si="1"/>
        <v>3</v>
      </c>
      <c r="E43" s="28">
        <v>10</v>
      </c>
      <c r="F43" s="27" t="s">
        <v>428</v>
      </c>
      <c r="G43" s="124"/>
      <c r="H43" s="28" t="str">
        <f>CONCATENATE(SUMIF($C$6:$C43,C43,$E$6:$E$370)," / ",SUMIF($C$6:$C$370,C43,$E$6:$E$370))</f>
        <v>47 / 47</v>
      </c>
      <c r="I43" s="28" t="str">
        <f>CONCATENATE(SUMIF($D$6:$D43,D43,$E$6:$E$370)," / ",SUMIF($D$6:$D$370,D43,$E$6:$E$370))</f>
        <v>134 / 212</v>
      </c>
      <c r="J43" s="28" t="str">
        <f>CONCATENATE(SUM($E$6:$E43)," / ",SUM($E$6:$E$370))</f>
        <v>354 / 2271</v>
      </c>
      <c r="K43" s="24" t="s">
        <v>380</v>
      </c>
      <c r="L43" s="28" t="str">
        <f>CONCATENATE(SUMIF($C$6:$C43,C43,$G$6:$G$370)," / ",SUMIF($C$6:$C$370,C43,$G$6:$G$370))</f>
        <v>0 / 0</v>
      </c>
      <c r="M43" s="28" t="str">
        <f>CONCATENATE(SUMIF($D$6:$D43,D43,$G$6:$G$370)," / ",SUMIF($D$6:$D$370,D43,$G$6:$G$370))</f>
        <v>0 / 0</v>
      </c>
      <c r="N43" s="28" t="str">
        <f>CONCATENATE(SUM($G$6:$G43)," / ",SUM($G$6:$G$370))</f>
        <v>0 / 2244,5</v>
      </c>
      <c r="O43" s="24"/>
      <c r="P43" s="224">
        <v>0</v>
      </c>
      <c r="Q43" s="28" t="str">
        <f>CONCATENATE(SUMIF($C$6:$C43,C43,$P$6:$P$370)," / ",SUMIF($C$6:$C$370,C43,$P$6:$P$370))</f>
        <v>0 / 0</v>
      </c>
      <c r="R43" s="28" t="str">
        <f>CONCATENATE(SUMIF($D$6:$D43,$D43,$P$6:$P$370)," / ",SUMIF($D$6:$D$370,$D43,$P$6:$P$370))</f>
        <v>0 / 0</v>
      </c>
      <c r="S43" s="28" t="str">
        <f>CONCATENATE(SUM($P$6:$P43)," / ",SUM($P$6:$P$370))</f>
        <v>0 / 30850</v>
      </c>
    </row>
    <row r="44" spans="2:19" ht="13" thickBot="1">
      <c r="B44" s="238">
        <f t="shared" si="2"/>
        <v>42078</v>
      </c>
      <c r="C44" s="124">
        <f t="shared" si="0"/>
        <v>12</v>
      </c>
      <c r="D44" s="124">
        <f t="shared" si="1"/>
        <v>3</v>
      </c>
      <c r="E44" s="28">
        <v>0</v>
      </c>
      <c r="F44" s="192"/>
      <c r="G44" s="124"/>
      <c r="H44" s="28" t="str">
        <f>CONCATENATE(SUMIF($C$6:$C44,C44,$E$6:$E$370)," / ",SUMIF($C$6:$C$370,C44,$E$6:$E$370))</f>
        <v>0 / 36</v>
      </c>
      <c r="I44" s="28" t="str">
        <f>CONCATENATE(SUMIF($D$6:$D44,D44,$E$6:$E$370)," / ",SUMIF($D$6:$D$370,D44,$E$6:$E$370))</f>
        <v>134 / 212</v>
      </c>
      <c r="J44" s="28" t="str">
        <f>CONCATENATE(SUM($E$6:$E44)," / ",SUM($E$6:$E$370))</f>
        <v>354 / 2271</v>
      </c>
      <c r="K44" s="24"/>
      <c r="L44" s="28" t="str">
        <f>CONCATENATE(SUMIF($C$6:$C44,C44,$G$6:$G$370)," / ",SUMIF($C$6:$C$370,C44,$G$6:$G$370))</f>
        <v>0 / 0</v>
      </c>
      <c r="M44" s="28" t="str">
        <f>CONCATENATE(SUMIF($D$6:$D44,D44,$G$6:$G$370)," / ",SUMIF($D$6:$D$370,D44,$G$6:$G$370))</f>
        <v>0 / 0</v>
      </c>
      <c r="N44" s="28" t="str">
        <f>CONCATENATE(SUM($G$6:$G44)," / ",SUM($G$6:$G$370))</f>
        <v>0 / 2244,5</v>
      </c>
      <c r="O44" s="24"/>
      <c r="P44" s="224">
        <v>0</v>
      </c>
      <c r="Q44" s="28" t="str">
        <f>CONCATENATE(SUMIF($C$6:$C44,C44,$P$6:$P$370)," / ",SUMIF($C$6:$C$370,C44,$P$6:$P$370))</f>
        <v>0 / 0</v>
      </c>
      <c r="R44" s="28" t="str">
        <f>CONCATENATE(SUMIF($D$6:$D44,$D44,$P$6:$P$370)," / ",SUMIF($D$6:$D$370,$D44,$P$6:$P$370))</f>
        <v>0 / 0</v>
      </c>
      <c r="S44" s="28" t="str">
        <f>CONCATENATE(SUM($P$6:$P44)," / ",SUM($P$6:$P$370))</f>
        <v>0 / 30850</v>
      </c>
    </row>
    <row r="45" spans="2:19" ht="13" thickBot="1">
      <c r="B45" s="238">
        <f t="shared" si="2"/>
        <v>42079</v>
      </c>
      <c r="C45" s="124">
        <f t="shared" si="0"/>
        <v>12</v>
      </c>
      <c r="D45" s="124">
        <f t="shared" si="1"/>
        <v>3</v>
      </c>
      <c r="E45" s="28">
        <v>10</v>
      </c>
      <c r="F45" s="27" t="s">
        <v>429</v>
      </c>
      <c r="G45" s="124"/>
      <c r="H45" s="28" t="str">
        <f>CONCATENATE(SUMIF($C$6:$C45,C45,$E$6:$E$370)," / ",SUMIF($C$6:$C$370,C45,$E$6:$E$370))</f>
        <v>10 / 36</v>
      </c>
      <c r="I45" s="28" t="str">
        <f>CONCATENATE(SUMIF($D$6:$D45,D45,$E$6:$E$370)," / ",SUMIF($D$6:$D$370,D45,$E$6:$E$370))</f>
        <v>144 / 212</v>
      </c>
      <c r="J45" s="28" t="str">
        <f>CONCATENATE(SUM($E$6:$E45)," / ",SUM($E$6:$E$370))</f>
        <v>364 / 2271</v>
      </c>
      <c r="K45" s="24" t="s">
        <v>427</v>
      </c>
      <c r="L45" s="28" t="str">
        <f>CONCATENATE(SUMIF($C$6:$C45,C45,$G$6:$G$370)," / ",SUMIF($C$6:$C$370,C45,$G$6:$G$370))</f>
        <v>0 / 0</v>
      </c>
      <c r="M45" s="28" t="str">
        <f>CONCATENATE(SUMIF($D$6:$D45,D45,$G$6:$G$370)," / ",SUMIF($D$6:$D$370,D45,$G$6:$G$370))</f>
        <v>0 / 0</v>
      </c>
      <c r="N45" s="28" t="str">
        <f>CONCATENATE(SUM($G$6:$G45)," / ",SUM($G$6:$G$370))</f>
        <v>0 / 2244,5</v>
      </c>
      <c r="O45" s="24"/>
      <c r="P45" s="224">
        <v>0</v>
      </c>
      <c r="Q45" s="28" t="str">
        <f>CONCATENATE(SUMIF($C$6:$C45,C45,$P$6:$P$370)," / ",SUMIF($C$6:$C$370,C45,$P$6:$P$370))</f>
        <v>0 / 0</v>
      </c>
      <c r="R45" s="28" t="str">
        <f>CONCATENATE(SUMIF($D$6:$D45,$D45,$P$6:$P$370)," / ",SUMIF($D$6:$D$370,$D45,$P$6:$P$370))</f>
        <v>0 / 0</v>
      </c>
      <c r="S45" s="28" t="str">
        <f>CONCATENATE(SUM($P$6:$P45)," / ",SUM($P$6:$P$370))</f>
        <v>0 / 30850</v>
      </c>
    </row>
    <row r="46" spans="2:19" ht="13" thickBot="1">
      <c r="B46" s="238">
        <f t="shared" si="2"/>
        <v>42080</v>
      </c>
      <c r="C46" s="124">
        <f t="shared" si="0"/>
        <v>12</v>
      </c>
      <c r="D46" s="124">
        <f t="shared" si="1"/>
        <v>3</v>
      </c>
      <c r="E46" s="28">
        <v>0</v>
      </c>
      <c r="F46" s="192"/>
      <c r="G46" s="124"/>
      <c r="H46" s="28" t="str">
        <f>CONCATENATE(SUMIF($C$6:$C46,C46,$E$6:$E$370)," / ",SUMIF($C$6:$C$370,C46,$E$6:$E$370))</f>
        <v>10 / 36</v>
      </c>
      <c r="I46" s="28" t="str">
        <f>CONCATENATE(SUMIF($D$6:$D46,D46,$E$6:$E$370)," / ",SUMIF($D$6:$D$370,D46,$E$6:$E$370))</f>
        <v>144 / 212</v>
      </c>
      <c r="J46" s="28" t="str">
        <f>CONCATENATE(SUM($E$6:$E46)," / ",SUM($E$6:$E$370))</f>
        <v>364 / 2271</v>
      </c>
      <c r="K46" s="24"/>
      <c r="L46" s="28" t="str">
        <f>CONCATENATE(SUMIF($C$6:$C46,C46,$G$6:$G$370)," / ",SUMIF($C$6:$C$370,C46,$G$6:$G$370))</f>
        <v>0 / 0</v>
      </c>
      <c r="M46" s="28" t="str">
        <f>CONCATENATE(SUMIF($D$6:$D46,D46,$G$6:$G$370)," / ",SUMIF($D$6:$D$370,D46,$G$6:$G$370))</f>
        <v>0 / 0</v>
      </c>
      <c r="N46" s="28" t="str">
        <f>CONCATENATE(SUM($G$6:$G46)," / ",SUM($G$6:$G$370))</f>
        <v>0 / 2244,5</v>
      </c>
      <c r="O46" s="24"/>
      <c r="P46" s="224">
        <v>0</v>
      </c>
      <c r="Q46" s="28" t="str">
        <f>CONCATENATE(SUMIF($C$6:$C46,C46,$P$6:$P$370)," / ",SUMIF($C$6:$C$370,C46,$P$6:$P$370))</f>
        <v>0 / 0</v>
      </c>
      <c r="R46" s="28" t="str">
        <f>CONCATENATE(SUMIF($D$6:$D46,$D46,$P$6:$P$370)," / ",SUMIF($D$6:$D$370,$D46,$P$6:$P$370))</f>
        <v>0 / 0</v>
      </c>
      <c r="S46" s="28" t="str">
        <f>CONCATENATE(SUM($P$6:$P46)," / ",SUM($P$6:$P$370))</f>
        <v>0 / 30850</v>
      </c>
    </row>
    <row r="47" spans="2:19" ht="13" thickBot="1">
      <c r="B47" s="238">
        <f t="shared" si="2"/>
        <v>42081</v>
      </c>
      <c r="C47" s="124">
        <f t="shared" si="0"/>
        <v>12</v>
      </c>
      <c r="D47" s="124">
        <f t="shared" si="1"/>
        <v>3</v>
      </c>
      <c r="E47" s="28">
        <v>10</v>
      </c>
      <c r="F47" s="27" t="s">
        <v>429</v>
      </c>
      <c r="G47" s="124"/>
      <c r="H47" s="28" t="str">
        <f>CONCATENATE(SUMIF($C$6:$C47,C47,$E$6:$E$370)," / ",SUMIF($C$6:$C$370,C47,$E$6:$E$370))</f>
        <v>20 / 36</v>
      </c>
      <c r="I47" s="28" t="str">
        <f>CONCATENATE(SUMIF($D$6:$D47,D47,$E$6:$E$370)," / ",SUMIF($D$6:$D$370,D47,$E$6:$E$370))</f>
        <v>154 / 212</v>
      </c>
      <c r="J47" s="28" t="str">
        <f>CONCATENATE(SUM($E$6:$E47)," / ",SUM($E$6:$E$370))</f>
        <v>374 / 2271</v>
      </c>
      <c r="K47" s="24" t="s">
        <v>380</v>
      </c>
      <c r="L47" s="28" t="str">
        <f>CONCATENATE(SUMIF($C$6:$C47,C47,$G$6:$G$370)," / ",SUMIF($C$6:$C$370,C47,$G$6:$G$370))</f>
        <v>0 / 0</v>
      </c>
      <c r="M47" s="28" t="str">
        <f>CONCATENATE(SUMIF($D$6:$D47,D47,$G$6:$G$370)," / ",SUMIF($D$6:$D$370,D47,$G$6:$G$370))</f>
        <v>0 / 0</v>
      </c>
      <c r="N47" s="28" t="str">
        <f>CONCATENATE(SUM($G$6:$G47)," / ",SUM($G$6:$G$370))</f>
        <v>0 / 2244,5</v>
      </c>
      <c r="O47" s="24"/>
      <c r="P47" s="224">
        <v>0</v>
      </c>
      <c r="Q47" s="28" t="str">
        <f>CONCATENATE(SUMIF($C$6:$C47,C47,$P$6:$P$370)," / ",SUMIF($C$6:$C$370,C47,$P$6:$P$370))</f>
        <v>0 / 0</v>
      </c>
      <c r="R47" s="28" t="str">
        <f>CONCATENATE(SUMIF($D$6:$D47,$D47,$P$6:$P$370)," / ",SUMIF($D$6:$D$370,$D47,$P$6:$P$370))</f>
        <v>0 / 0</v>
      </c>
      <c r="S47" s="28" t="str">
        <f>CONCATENATE(SUM($P$6:$P47)," / ",SUM($P$6:$P$370))</f>
        <v>0 / 30850</v>
      </c>
    </row>
    <row r="48" spans="2:19" ht="13" thickBot="1">
      <c r="B48" s="238">
        <f t="shared" si="2"/>
        <v>42082</v>
      </c>
      <c r="C48" s="124">
        <f t="shared" si="0"/>
        <v>12</v>
      </c>
      <c r="D48" s="124">
        <f t="shared" si="1"/>
        <v>3</v>
      </c>
      <c r="E48" s="28">
        <v>0</v>
      </c>
      <c r="F48" s="192"/>
      <c r="G48" s="124"/>
      <c r="H48" s="28" t="str">
        <f>CONCATENATE(SUMIF($C$6:$C48,C48,$E$6:$E$370)," / ",SUMIF($C$6:$C$370,C48,$E$6:$E$370))</f>
        <v>20 / 36</v>
      </c>
      <c r="I48" s="28" t="str">
        <f>CONCATENATE(SUMIF($D$6:$D48,D48,$E$6:$E$370)," / ",SUMIF($D$6:$D$370,D48,$E$6:$E$370))</f>
        <v>154 / 212</v>
      </c>
      <c r="J48" s="28" t="str">
        <f>CONCATENATE(SUM($E$6:$E48)," / ",SUM($E$6:$E$370))</f>
        <v>374 / 2271</v>
      </c>
      <c r="K48" s="24"/>
      <c r="L48" s="28" t="str">
        <f>CONCATENATE(SUMIF($C$6:$C48,C48,$G$6:$G$370)," / ",SUMIF($C$6:$C$370,C48,$G$6:$G$370))</f>
        <v>0 / 0</v>
      </c>
      <c r="M48" s="28" t="str">
        <f>CONCATENATE(SUMIF($D$6:$D48,D48,$G$6:$G$370)," / ",SUMIF($D$6:$D$370,D48,$G$6:$G$370))</f>
        <v>0 / 0</v>
      </c>
      <c r="N48" s="28" t="str">
        <f>CONCATENATE(SUM($G$6:$G48)," / ",SUM($G$6:$G$370))</f>
        <v>0 / 2244,5</v>
      </c>
      <c r="O48" s="24"/>
      <c r="P48" s="224">
        <v>0</v>
      </c>
      <c r="Q48" s="28" t="str">
        <f>CONCATENATE(SUMIF($C$6:$C48,C48,$P$6:$P$370)," / ",SUMIF($C$6:$C$370,C48,$P$6:$P$370))</f>
        <v>0 / 0</v>
      </c>
      <c r="R48" s="28" t="str">
        <f>CONCATENATE(SUMIF($D$6:$D48,$D48,$P$6:$P$370)," / ",SUMIF($D$6:$D$370,$D48,$P$6:$P$370))</f>
        <v>0 / 0</v>
      </c>
      <c r="S48" s="28" t="str">
        <f>CONCATENATE(SUM($P$6:$P48)," / ",SUM($P$6:$P$370))</f>
        <v>0 / 30850</v>
      </c>
    </row>
    <row r="49" spans="2:19" ht="13" thickBot="1">
      <c r="B49" s="238">
        <f t="shared" si="2"/>
        <v>42083</v>
      </c>
      <c r="C49" s="124">
        <f t="shared" si="0"/>
        <v>12</v>
      </c>
      <c r="D49" s="124">
        <f t="shared" si="1"/>
        <v>3</v>
      </c>
      <c r="E49" s="28">
        <v>16</v>
      </c>
      <c r="F49" s="27" t="s">
        <v>431</v>
      </c>
      <c r="G49" s="124"/>
      <c r="H49" s="28" t="str">
        <f>CONCATENATE(SUMIF($C$6:$C49,C49,$E$6:$E$370)," / ",SUMIF($C$6:$C$370,C49,$E$6:$E$370))</f>
        <v>36 / 36</v>
      </c>
      <c r="I49" s="28" t="str">
        <f>CONCATENATE(SUMIF($D$6:$D49,D49,$E$6:$E$370)," / ",SUMIF($D$6:$D$370,D49,$E$6:$E$370))</f>
        <v>170 / 212</v>
      </c>
      <c r="J49" s="28" t="str">
        <f>CONCATENATE(SUM($E$6:$E49)," / ",SUM($E$6:$E$370))</f>
        <v>390 / 2271</v>
      </c>
      <c r="K49" s="24" t="s">
        <v>427</v>
      </c>
      <c r="L49" s="28" t="str">
        <f>CONCATENATE(SUMIF($C$6:$C49,C49,$G$6:$G$370)," / ",SUMIF($C$6:$C$370,C49,$G$6:$G$370))</f>
        <v>0 / 0</v>
      </c>
      <c r="M49" s="28" t="str">
        <f>CONCATENATE(SUMIF($D$6:$D49,D49,$G$6:$G$370)," / ",SUMIF($D$6:$D$370,D49,$G$6:$G$370))</f>
        <v>0 / 0</v>
      </c>
      <c r="N49" s="28" t="str">
        <f>CONCATENATE(SUM($G$6:$G49)," / ",SUM($G$6:$G$370))</f>
        <v>0 / 2244,5</v>
      </c>
      <c r="O49" s="24"/>
      <c r="P49" s="224">
        <v>0</v>
      </c>
      <c r="Q49" s="28" t="str">
        <f>CONCATENATE(SUMIF($C$6:$C49,C49,$P$6:$P$370)," / ",SUMIF($C$6:$C$370,C49,$P$6:$P$370))</f>
        <v>0 / 0</v>
      </c>
      <c r="R49" s="28" t="str">
        <f>CONCATENATE(SUMIF($D$6:$D49,$D49,$P$6:$P$370)," / ",SUMIF($D$6:$D$370,$D49,$P$6:$P$370))</f>
        <v>0 / 0</v>
      </c>
      <c r="S49" s="28" t="str">
        <f>CONCATENATE(SUM($P$6:$P49)," / ",SUM($P$6:$P$370))</f>
        <v>0 / 30850</v>
      </c>
    </row>
    <row r="50" spans="2:19" ht="13" thickBot="1">
      <c r="B50" s="238">
        <f t="shared" si="2"/>
        <v>42084</v>
      </c>
      <c r="C50" s="124">
        <f t="shared" si="0"/>
        <v>12</v>
      </c>
      <c r="D50" s="124">
        <f t="shared" si="1"/>
        <v>3</v>
      </c>
      <c r="E50" s="28">
        <v>0</v>
      </c>
      <c r="F50" s="192"/>
      <c r="G50" s="124"/>
      <c r="H50" s="28" t="str">
        <f>CONCATENATE(SUMIF($C$6:$C50,C50,$E$6:$E$370)," / ",SUMIF($C$6:$C$370,C50,$E$6:$E$370))</f>
        <v>36 / 36</v>
      </c>
      <c r="I50" s="28" t="str">
        <f>CONCATENATE(SUMIF($D$6:$D50,D50,$E$6:$E$370)," / ",SUMIF($D$6:$D$370,D50,$E$6:$E$370))</f>
        <v>170 / 212</v>
      </c>
      <c r="J50" s="28" t="str">
        <f>CONCATENATE(SUM($E$6:$E50)," / ",SUM($E$6:$E$370))</f>
        <v>390 / 2271</v>
      </c>
      <c r="K50" s="24"/>
      <c r="L50" s="28" t="str">
        <f>CONCATENATE(SUMIF($C$6:$C50,C50,$G$6:$G$370)," / ",SUMIF($C$6:$C$370,C50,$G$6:$G$370))</f>
        <v>0 / 0</v>
      </c>
      <c r="M50" s="28" t="str">
        <f>CONCATENATE(SUMIF($D$6:$D50,D50,$G$6:$G$370)," / ",SUMIF($D$6:$D$370,D50,$G$6:$G$370))</f>
        <v>0 / 0</v>
      </c>
      <c r="N50" s="28" t="str">
        <f>CONCATENATE(SUM($G$6:$G50)," / ",SUM($G$6:$G$370))</f>
        <v>0 / 2244,5</v>
      </c>
      <c r="O50" s="24"/>
      <c r="P50" s="224">
        <v>0</v>
      </c>
      <c r="Q50" s="28" t="str">
        <f>CONCATENATE(SUMIF($C$6:$C50,C50,$P$6:$P$370)," / ",SUMIF($C$6:$C$370,C50,$P$6:$P$370))</f>
        <v>0 / 0</v>
      </c>
      <c r="R50" s="28" t="str">
        <f>CONCATENATE(SUMIF($D$6:$D50,$D50,$P$6:$P$370)," / ",SUMIF($D$6:$D$370,$D50,$P$6:$P$370))</f>
        <v>0 / 0</v>
      </c>
      <c r="S50" s="28" t="str">
        <f>CONCATENATE(SUM($P$6:$P50)," / ",SUM($P$6:$P$370))</f>
        <v>0 / 30850</v>
      </c>
    </row>
    <row r="51" spans="2:19" ht="13" thickBot="1">
      <c r="B51" s="238">
        <f t="shared" si="2"/>
        <v>42085</v>
      </c>
      <c r="C51" s="124">
        <f t="shared" si="0"/>
        <v>13</v>
      </c>
      <c r="D51" s="124">
        <f t="shared" ref="D51" si="3">MONTH(B51)</f>
        <v>3</v>
      </c>
      <c r="E51" s="28">
        <v>0</v>
      </c>
      <c r="F51" s="192"/>
      <c r="G51" s="124"/>
      <c r="H51" s="28" t="str">
        <f>CONCATENATE(SUMIF($C$6:$C51,C51,$E$6:$E$370)," / ",SUMIF($C$6:$C$370,C51,$E$6:$E$370))</f>
        <v>0 / 32</v>
      </c>
      <c r="I51" s="28" t="str">
        <f>CONCATENATE(SUMIF($D$6:$D51,D51,$E$6:$E$370)," / ",SUMIF($D$6:$D$370,D51,$E$6:$E$370))</f>
        <v>170 / 212</v>
      </c>
      <c r="J51" s="28" t="str">
        <f>CONCATENATE(SUM($E$6:$E51)," / ",SUM($E$6:$E$370))</f>
        <v>390 / 2271</v>
      </c>
      <c r="K51" s="24"/>
      <c r="L51" s="28" t="str">
        <f>CONCATENATE(SUMIF($C$6:$C51,C51,$G$6:$G$370)," / ",SUMIF($C$6:$C$370,C51,$G$6:$G$370))</f>
        <v>0 / 0</v>
      </c>
      <c r="M51" s="28" t="str">
        <f>CONCATENATE(SUMIF($D$6:$D51,D51,$G$6:$G$370)," / ",SUMIF($D$6:$D$370,D51,$G$6:$G$370))</f>
        <v>0 / 0</v>
      </c>
      <c r="N51" s="28" t="str">
        <f>CONCATENATE(SUM($G$6:$G51)," / ",SUM($G$6:$G$370))</f>
        <v>0 / 2244,5</v>
      </c>
      <c r="O51" s="24"/>
      <c r="P51" s="224">
        <v>0</v>
      </c>
      <c r="Q51" s="28" t="str">
        <f>CONCATENATE(SUMIF($C$6:$C51,C51,$P$6:$P$370)," / ",SUMIF($C$6:$C$370,C51,$P$6:$P$370))</f>
        <v>0 / 0</v>
      </c>
      <c r="R51" s="28" t="str">
        <f>CONCATENATE(SUMIF($D$6:$D51,$D51,$P$6:$P$370)," / ",SUMIF($D$6:$D$370,$D51,$P$6:$P$370))</f>
        <v>0 / 0</v>
      </c>
      <c r="S51" s="28" t="str">
        <f>CONCATENATE(SUM($P$6:$P51)," / ",SUM($P$6:$P$370))</f>
        <v>0 / 30850</v>
      </c>
    </row>
    <row r="52" spans="2:19" ht="13" thickBot="1">
      <c r="B52" s="238">
        <f t="shared" si="2"/>
        <v>42086</v>
      </c>
      <c r="C52" s="124">
        <f t="shared" si="0"/>
        <v>13</v>
      </c>
      <c r="D52" s="124">
        <f t="shared" si="1"/>
        <v>3</v>
      </c>
      <c r="E52" s="28">
        <v>0</v>
      </c>
      <c r="F52" s="192"/>
      <c r="G52" s="124"/>
      <c r="H52" s="28" t="str">
        <f>CONCATENATE(SUMIF($C$6:$C52,C52,$E$6:$E$370)," / ",SUMIF($C$6:$C$370,C52,$E$6:$E$370))</f>
        <v>0 / 32</v>
      </c>
      <c r="I52" s="28" t="str">
        <f>CONCATENATE(SUMIF($D$6:$D52,D52,$E$6:$E$370)," / ",SUMIF($D$6:$D$370,D52,$E$6:$E$370))</f>
        <v>170 / 212</v>
      </c>
      <c r="J52" s="28" t="str">
        <f>CONCATENATE(SUM($E$6:$E52)," / ",SUM($E$6:$E$370))</f>
        <v>390 / 2271</v>
      </c>
      <c r="K52" s="24"/>
      <c r="L52" s="28" t="str">
        <f>CONCATENATE(SUMIF($C$6:$C52,C52,$G$6:$G$370)," / ",SUMIF($C$6:$C$370,C52,$G$6:$G$370))</f>
        <v>0 / 0</v>
      </c>
      <c r="M52" s="28" t="str">
        <f>CONCATENATE(SUMIF($D$6:$D52,D52,$G$6:$G$370)," / ",SUMIF($D$6:$D$370,D52,$G$6:$G$370))</f>
        <v>0 / 0</v>
      </c>
      <c r="N52" s="28" t="str">
        <f>CONCATENATE(SUM($G$6:$G52)," / ",SUM($G$6:$G$370))</f>
        <v>0 / 2244,5</v>
      </c>
      <c r="O52" s="24"/>
      <c r="P52" s="224">
        <v>0</v>
      </c>
      <c r="Q52" s="28" t="str">
        <f>CONCATENATE(SUMIF($C$6:$C52,C52,$P$6:$P$370)," / ",SUMIF($C$6:$C$370,C52,$P$6:$P$370))</f>
        <v>0 / 0</v>
      </c>
      <c r="R52" s="28" t="str">
        <f>CONCATENATE(SUMIF($D$6:$D52,$D52,$P$6:$P$370)," / ",SUMIF($D$6:$D$370,$D52,$P$6:$P$370))</f>
        <v>0 / 0</v>
      </c>
      <c r="S52" s="28" t="str">
        <f>CONCATENATE(SUM($P$6:$P52)," / ",SUM($P$6:$P$370))</f>
        <v>0 / 30850</v>
      </c>
    </row>
    <row r="53" spans="2:19" ht="13" thickBot="1">
      <c r="B53" s="238">
        <f t="shared" si="2"/>
        <v>42087</v>
      </c>
      <c r="C53" s="124">
        <f t="shared" si="0"/>
        <v>13</v>
      </c>
      <c r="D53" s="124">
        <f t="shared" si="1"/>
        <v>3</v>
      </c>
      <c r="E53" s="28">
        <v>16</v>
      </c>
      <c r="F53" s="27" t="s">
        <v>431</v>
      </c>
      <c r="G53" s="124"/>
      <c r="H53" s="28" t="str">
        <f>CONCATENATE(SUMIF($C$6:$C53,C53,$E$6:$E$370)," / ",SUMIF($C$6:$C$370,C53,$E$6:$E$370))</f>
        <v>16 / 32</v>
      </c>
      <c r="I53" s="28" t="str">
        <f>CONCATENATE(SUMIF($D$6:$D53,D53,$E$6:$E$370)," / ",SUMIF($D$6:$D$370,D53,$E$6:$E$370))</f>
        <v>186 / 212</v>
      </c>
      <c r="J53" s="28" t="str">
        <f>CONCATENATE(SUM($E$6:$E53)," / ",SUM($E$6:$E$370))</f>
        <v>406 / 2271</v>
      </c>
      <c r="K53" s="24" t="s">
        <v>427</v>
      </c>
      <c r="L53" s="28" t="str">
        <f>CONCATENATE(SUMIF($C$6:$C53,C53,$G$6:$G$370)," / ",SUMIF($C$6:$C$370,C53,$G$6:$G$370))</f>
        <v>0 / 0</v>
      </c>
      <c r="M53" s="28" t="str">
        <f>CONCATENATE(SUMIF($D$6:$D53,D53,$G$6:$G$370)," / ",SUMIF($D$6:$D$370,D53,$G$6:$G$370))</f>
        <v>0 / 0</v>
      </c>
      <c r="N53" s="28" t="str">
        <f>CONCATENATE(SUM($G$6:$G53)," / ",SUM($G$6:$G$370))</f>
        <v>0 / 2244,5</v>
      </c>
      <c r="O53" s="24"/>
      <c r="P53" s="224">
        <v>0</v>
      </c>
      <c r="Q53" s="28" t="str">
        <f>CONCATENATE(SUMIF($C$6:$C53,C53,$P$6:$P$370)," / ",SUMIF($C$6:$C$370,C53,$P$6:$P$370))</f>
        <v>0 / 0</v>
      </c>
      <c r="R53" s="28" t="str">
        <f>CONCATENATE(SUMIF($D$6:$D53,$D53,$P$6:$P$370)," / ",SUMIF($D$6:$D$370,$D53,$P$6:$P$370))</f>
        <v>0 / 0</v>
      </c>
      <c r="S53" s="28" t="str">
        <f>CONCATENATE(SUM($P$6:$P53)," / ",SUM($P$6:$P$370))</f>
        <v>0 / 30850</v>
      </c>
    </row>
    <row r="54" spans="2:19" ht="13" thickBot="1">
      <c r="B54" s="238">
        <f t="shared" si="2"/>
        <v>42088</v>
      </c>
      <c r="C54" s="124">
        <f t="shared" si="0"/>
        <v>13</v>
      </c>
      <c r="D54" s="124">
        <f t="shared" si="1"/>
        <v>3</v>
      </c>
      <c r="E54" s="28">
        <v>0</v>
      </c>
      <c r="F54" s="192"/>
      <c r="G54" s="124"/>
      <c r="H54" s="28" t="str">
        <f>CONCATENATE(SUMIF($C$6:$C54,C54,$E$6:$E$370)," / ",SUMIF($C$6:$C$370,C54,$E$6:$E$370))</f>
        <v>16 / 32</v>
      </c>
      <c r="I54" s="28" t="str">
        <f>CONCATENATE(SUMIF($D$6:$D54,D54,$E$6:$E$370)," / ",SUMIF($D$6:$D$370,D54,$E$6:$E$370))</f>
        <v>186 / 212</v>
      </c>
      <c r="J54" s="28" t="str">
        <f>CONCATENATE(SUM($E$6:$E54)," / ",SUM($E$6:$E$370))</f>
        <v>406 / 2271</v>
      </c>
      <c r="K54" s="24"/>
      <c r="L54" s="28" t="str">
        <f>CONCATENATE(SUMIF($C$6:$C54,C54,$G$6:$G$370)," / ",SUMIF($C$6:$C$370,C54,$G$6:$G$370))</f>
        <v>0 / 0</v>
      </c>
      <c r="M54" s="28" t="str">
        <f>CONCATENATE(SUMIF($D$6:$D54,D54,$G$6:$G$370)," / ",SUMIF($D$6:$D$370,D54,$G$6:$G$370))</f>
        <v>0 / 0</v>
      </c>
      <c r="N54" s="28" t="str">
        <f>CONCATENATE(SUM($G$6:$G54)," / ",SUM($G$6:$G$370))</f>
        <v>0 / 2244,5</v>
      </c>
      <c r="O54" s="24"/>
      <c r="P54" s="224">
        <v>0</v>
      </c>
      <c r="Q54" s="28" t="str">
        <f>CONCATENATE(SUMIF($C$6:$C54,C54,$P$6:$P$370)," / ",SUMIF($C$6:$C$370,C54,$P$6:$P$370))</f>
        <v>0 / 0</v>
      </c>
      <c r="R54" s="28" t="str">
        <f>CONCATENATE(SUMIF($D$6:$D54,$D54,$P$6:$P$370)," / ",SUMIF($D$6:$D$370,$D54,$P$6:$P$370))</f>
        <v>0 / 0</v>
      </c>
      <c r="S54" s="28" t="str">
        <f>CONCATENATE(SUM($P$6:$P54)," / ",SUM($P$6:$P$370))</f>
        <v>0 / 30850</v>
      </c>
    </row>
    <row r="55" spans="2:19" ht="13" thickBot="1">
      <c r="B55" s="238">
        <f t="shared" si="2"/>
        <v>42089</v>
      </c>
      <c r="C55" s="124">
        <f t="shared" si="0"/>
        <v>13</v>
      </c>
      <c r="D55" s="124">
        <f t="shared" si="1"/>
        <v>3</v>
      </c>
      <c r="E55" s="28">
        <v>0</v>
      </c>
      <c r="F55" s="192"/>
      <c r="G55" s="124"/>
      <c r="H55" s="28" t="str">
        <f>CONCATENATE(SUMIF($C$6:$C55,C55,$E$6:$E$370)," / ",SUMIF($C$6:$C$370,C55,$E$6:$E$370))</f>
        <v>16 / 32</v>
      </c>
      <c r="I55" s="28" t="str">
        <f>CONCATENATE(SUMIF($D$6:$D55,D55,$E$6:$E$370)," / ",SUMIF($D$6:$D$370,D55,$E$6:$E$370))</f>
        <v>186 / 212</v>
      </c>
      <c r="J55" s="28" t="str">
        <f>CONCATENATE(SUM($E$6:$E55)," / ",SUM($E$6:$E$370))</f>
        <v>406 / 2271</v>
      </c>
      <c r="K55" s="24"/>
      <c r="L55" s="28" t="str">
        <f>CONCATENATE(SUMIF($C$6:$C55,C55,$G$6:$G$370)," / ",SUMIF($C$6:$C$370,C55,$G$6:$G$370))</f>
        <v>0 / 0</v>
      </c>
      <c r="M55" s="28" t="str">
        <f>CONCATENATE(SUMIF($D$6:$D55,D55,$G$6:$G$370)," / ",SUMIF($D$6:$D$370,D55,$G$6:$G$370))</f>
        <v>0 / 0</v>
      </c>
      <c r="N55" s="28" t="str">
        <f>CONCATENATE(SUM($G$6:$G55)," / ",SUM($G$6:$G$370))</f>
        <v>0 / 2244,5</v>
      </c>
      <c r="O55" s="24"/>
      <c r="P55" s="224">
        <v>0</v>
      </c>
      <c r="Q55" s="28" t="str">
        <f>CONCATENATE(SUMIF($C$6:$C55,C55,$P$6:$P$370)," / ",SUMIF($C$6:$C$370,C55,$P$6:$P$370))</f>
        <v>0 / 0</v>
      </c>
      <c r="R55" s="28" t="str">
        <f>CONCATENATE(SUMIF($D$6:$D55,$D55,$P$6:$P$370)," / ",SUMIF($D$6:$D$370,$D55,$P$6:$P$370))</f>
        <v>0 / 0</v>
      </c>
      <c r="S55" s="28" t="str">
        <f>CONCATENATE(SUM($P$6:$P55)," / ",SUM($P$6:$P$370))</f>
        <v>0 / 30850</v>
      </c>
    </row>
    <row r="56" spans="2:19" ht="13" thickBot="1">
      <c r="B56" s="238">
        <f t="shared" si="2"/>
        <v>42090</v>
      </c>
      <c r="C56" s="124">
        <f t="shared" si="0"/>
        <v>13</v>
      </c>
      <c r="D56" s="124">
        <f t="shared" si="1"/>
        <v>3</v>
      </c>
      <c r="E56" s="28">
        <v>16</v>
      </c>
      <c r="F56" s="27" t="s">
        <v>432</v>
      </c>
      <c r="G56" s="124"/>
      <c r="H56" s="28" t="str">
        <f>CONCATENATE(SUMIF($C$6:$C56,C56,$E$6:$E$370)," / ",SUMIF($C$6:$C$370,C56,$E$6:$E$370))</f>
        <v>32 / 32</v>
      </c>
      <c r="I56" s="28" t="str">
        <f>CONCATENATE(SUMIF($D$6:$D56,D56,$E$6:$E$370)," / ",SUMIF($D$6:$D$370,D56,$E$6:$E$370))</f>
        <v>202 / 212</v>
      </c>
      <c r="J56" s="28" t="str">
        <f>CONCATENATE(SUM($E$6:$E56)," / ",SUM($E$6:$E$370))</f>
        <v>422 / 2271</v>
      </c>
      <c r="K56" s="24" t="s">
        <v>427</v>
      </c>
      <c r="L56" s="28" t="str">
        <f>CONCATENATE(SUMIF($C$6:$C56,C56,$G$6:$G$370)," / ",SUMIF($C$6:$C$370,C56,$G$6:$G$370))</f>
        <v>0 / 0</v>
      </c>
      <c r="M56" s="28" t="str">
        <f>CONCATENATE(SUMIF($D$6:$D56,D56,$G$6:$G$370)," / ",SUMIF($D$6:$D$370,D56,$G$6:$G$370))</f>
        <v>0 / 0</v>
      </c>
      <c r="N56" s="28" t="str">
        <f>CONCATENATE(SUM($G$6:$G56)," / ",SUM($G$6:$G$370))</f>
        <v>0 / 2244,5</v>
      </c>
      <c r="O56" s="24"/>
      <c r="P56" s="224">
        <v>0</v>
      </c>
      <c r="Q56" s="28" t="str">
        <f>CONCATENATE(SUMIF($C$6:$C56,C56,$P$6:$P$370)," / ",SUMIF($C$6:$C$370,C56,$P$6:$P$370))</f>
        <v>0 / 0</v>
      </c>
      <c r="R56" s="28" t="str">
        <f>CONCATENATE(SUMIF($D$6:$D56,$D56,$P$6:$P$370)," / ",SUMIF($D$6:$D$370,$D56,$P$6:$P$370))</f>
        <v>0 / 0</v>
      </c>
      <c r="S56" s="28" t="str">
        <f>CONCATENATE(SUM($P$6:$P56)," / ",SUM($P$6:$P$370))</f>
        <v>0 / 30850</v>
      </c>
    </row>
    <row r="57" spans="2:19" ht="13" thickBot="1">
      <c r="B57" s="238">
        <f t="shared" si="2"/>
        <v>42091</v>
      </c>
      <c r="C57" s="124">
        <f t="shared" si="0"/>
        <v>13</v>
      </c>
      <c r="D57" s="124">
        <f t="shared" si="1"/>
        <v>3</v>
      </c>
      <c r="E57" s="28">
        <v>0</v>
      </c>
      <c r="F57" s="192"/>
      <c r="G57" s="124"/>
      <c r="H57" s="28" t="str">
        <f>CONCATENATE(SUMIF($C$6:$C57,C57,$E$6:$E$370)," / ",SUMIF($C$6:$C$370,C57,$E$6:$E$370))</f>
        <v>32 / 32</v>
      </c>
      <c r="I57" s="28" t="str">
        <f>CONCATENATE(SUMIF($D$6:$D57,D57,$E$6:$E$370)," / ",SUMIF($D$6:$D$370,D57,$E$6:$E$370))</f>
        <v>202 / 212</v>
      </c>
      <c r="J57" s="28" t="str">
        <f>CONCATENATE(SUM($E$6:$E57)," / ",SUM($E$6:$E$370))</f>
        <v>422 / 2271</v>
      </c>
      <c r="K57" s="24"/>
      <c r="L57" s="28" t="str">
        <f>CONCATENATE(SUMIF($C$6:$C57,C57,$G$6:$G$370)," / ",SUMIF($C$6:$C$370,C57,$G$6:$G$370))</f>
        <v>0 / 0</v>
      </c>
      <c r="M57" s="28" t="str">
        <f>CONCATENATE(SUMIF($D$6:$D57,D57,$G$6:$G$370)," / ",SUMIF($D$6:$D$370,D57,$G$6:$G$370))</f>
        <v>0 / 0</v>
      </c>
      <c r="N57" s="28" t="str">
        <f>CONCATENATE(SUM($G$6:$G57)," / ",SUM($G$6:$G$370))</f>
        <v>0 / 2244,5</v>
      </c>
      <c r="O57" s="24"/>
      <c r="P57" s="224">
        <v>0</v>
      </c>
      <c r="Q57" s="28" t="str">
        <f>CONCATENATE(SUMIF($C$6:$C57,C57,$P$6:$P$370)," / ",SUMIF($C$6:$C$370,C57,$P$6:$P$370))</f>
        <v>0 / 0</v>
      </c>
      <c r="R57" s="28" t="str">
        <f>CONCATENATE(SUMIF($D$6:$D57,$D57,$P$6:$P$370)," / ",SUMIF($D$6:$D$370,$D57,$P$6:$P$370))</f>
        <v>0 / 0</v>
      </c>
      <c r="S57" s="28" t="str">
        <f>CONCATENATE(SUM($P$6:$P57)," / ",SUM($P$6:$P$370))</f>
        <v>0 / 30850</v>
      </c>
    </row>
    <row r="58" spans="2:19" ht="13" thickBot="1">
      <c r="B58" s="238">
        <f t="shared" si="2"/>
        <v>42092</v>
      </c>
      <c r="C58" s="124">
        <f t="shared" si="0"/>
        <v>14</v>
      </c>
      <c r="D58" s="124">
        <f t="shared" si="1"/>
        <v>3</v>
      </c>
      <c r="E58" s="28">
        <v>0</v>
      </c>
      <c r="F58" s="192"/>
      <c r="G58" s="124"/>
      <c r="H58" s="28" t="str">
        <f>CONCATENATE(SUMIF($C$6:$C58,C58,$E$6:$E$370)," / ",SUMIF($C$6:$C$370,C58,$E$6:$E$370))</f>
        <v>0 / 51</v>
      </c>
      <c r="I58" s="28" t="str">
        <f>CONCATENATE(SUMIF($D$6:$D58,D58,$E$6:$E$370)," / ",SUMIF($D$6:$D$370,D58,$E$6:$E$370))</f>
        <v>202 / 212</v>
      </c>
      <c r="J58" s="28" t="str">
        <f>CONCATENATE(SUM($E$6:$E58)," / ",SUM($E$6:$E$370))</f>
        <v>422 / 2271</v>
      </c>
      <c r="K58" s="24"/>
      <c r="L58" s="28" t="str">
        <f>CONCATENATE(SUMIF($C$6:$C58,C58,$G$6:$G$370)," / ",SUMIF($C$6:$C$370,C58,$G$6:$G$370))</f>
        <v>0 / 0</v>
      </c>
      <c r="M58" s="28" t="str">
        <f>CONCATENATE(SUMIF($D$6:$D58,D58,$G$6:$G$370)," / ",SUMIF($D$6:$D$370,D58,$G$6:$G$370))</f>
        <v>0 / 0</v>
      </c>
      <c r="N58" s="28" t="str">
        <f>CONCATENATE(SUM($G$6:$G58)," / ",SUM($G$6:$G$370))</f>
        <v>0 / 2244,5</v>
      </c>
      <c r="O58" s="24"/>
      <c r="P58" s="224">
        <v>0</v>
      </c>
      <c r="Q58" s="28" t="str">
        <f>CONCATENATE(SUMIF($C$6:$C58,C58,$P$6:$P$370)," / ",SUMIF($C$6:$C$370,C58,$P$6:$P$370))</f>
        <v>0 / 0</v>
      </c>
      <c r="R58" s="28" t="str">
        <f>CONCATENATE(SUMIF($D$6:$D58,$D58,$P$6:$P$370)," / ",SUMIF($D$6:$D$370,$D58,$P$6:$P$370))</f>
        <v>0 / 0</v>
      </c>
      <c r="S58" s="28" t="str">
        <f>CONCATENATE(SUM($P$6:$P58)," / ",SUM($P$6:$P$370))</f>
        <v>0 / 30850</v>
      </c>
    </row>
    <row r="59" spans="2:19" ht="13" thickBot="1">
      <c r="B59" s="238">
        <f t="shared" si="2"/>
        <v>42093</v>
      </c>
      <c r="C59" s="124">
        <f t="shared" si="0"/>
        <v>14</v>
      </c>
      <c r="D59" s="124">
        <f t="shared" si="1"/>
        <v>3</v>
      </c>
      <c r="E59" s="28">
        <v>10</v>
      </c>
      <c r="F59" s="27" t="s">
        <v>429</v>
      </c>
      <c r="G59" s="124"/>
      <c r="H59" s="28" t="str">
        <f>CONCATENATE(SUMIF($C$6:$C59,C59,$E$6:$E$370)," / ",SUMIF($C$6:$C$370,C59,$E$6:$E$370))</f>
        <v>10 / 51</v>
      </c>
      <c r="I59" s="28" t="str">
        <f>CONCATENATE(SUMIF($D$6:$D59,D59,$E$6:$E$370)," / ",SUMIF($D$6:$D$370,D59,$E$6:$E$370))</f>
        <v>212 / 212</v>
      </c>
      <c r="J59" s="28" t="str">
        <f>CONCATENATE(SUM($E$6:$E59)," / ",SUM($E$6:$E$370))</f>
        <v>432 / 2271</v>
      </c>
      <c r="K59" s="24" t="s">
        <v>427</v>
      </c>
      <c r="L59" s="28" t="str">
        <f>CONCATENATE(SUMIF($C$6:$C59,C59,$G$6:$G$370)," / ",SUMIF($C$6:$C$370,C59,$G$6:$G$370))</f>
        <v>0 / 0</v>
      </c>
      <c r="M59" s="28" t="str">
        <f>CONCATENATE(SUMIF($D$6:$D59,D59,$G$6:$G$370)," / ",SUMIF($D$6:$D$370,D59,$G$6:$G$370))</f>
        <v>0 / 0</v>
      </c>
      <c r="N59" s="28" t="str">
        <f>CONCATENATE(SUM($G$6:$G59)," / ",SUM($G$6:$G$370))</f>
        <v>0 / 2244,5</v>
      </c>
      <c r="O59" s="24"/>
      <c r="P59" s="224">
        <v>0</v>
      </c>
      <c r="Q59" s="28" t="str">
        <f>CONCATENATE(SUMIF($C$6:$C59,C59,$P$6:$P$370)," / ",SUMIF($C$6:$C$370,C59,$P$6:$P$370))</f>
        <v>0 / 0</v>
      </c>
      <c r="R59" s="28" t="str">
        <f>CONCATENATE(SUMIF($D$6:$D59,$D59,$P$6:$P$370)," / ",SUMIF($D$6:$D$370,$D59,$P$6:$P$370))</f>
        <v>0 / 0</v>
      </c>
      <c r="S59" s="28" t="str">
        <f>CONCATENATE(SUM($P$6:$P59)," / ",SUM($P$6:$P$370))</f>
        <v>0 / 30850</v>
      </c>
    </row>
    <row r="60" spans="2:19" ht="13" thickBot="1">
      <c r="B60" s="238">
        <f t="shared" si="2"/>
        <v>42094</v>
      </c>
      <c r="C60" s="124">
        <f t="shared" si="0"/>
        <v>14</v>
      </c>
      <c r="D60" s="124">
        <f t="shared" si="1"/>
        <v>3</v>
      </c>
      <c r="E60" s="28">
        <v>0</v>
      </c>
      <c r="F60" s="192"/>
      <c r="G60" s="124"/>
      <c r="H60" s="28" t="str">
        <f>CONCATENATE(SUMIF($C$6:$C60,C60,$E$6:$E$370)," / ",SUMIF($C$6:$C$370,C60,$E$6:$E$370))</f>
        <v>10 / 51</v>
      </c>
      <c r="I60" s="28" t="str">
        <f>CONCATENATE(SUMIF($D$6:$D60,D60,$E$6:$E$370)," / ",SUMIF($D$6:$D$370,D60,$E$6:$E$370))</f>
        <v>212 / 212</v>
      </c>
      <c r="J60" s="28" t="str">
        <f>CONCATENATE(SUM($E$6:$E60)," / ",SUM($E$6:$E$370))</f>
        <v>432 / 2271</v>
      </c>
      <c r="K60" s="24"/>
      <c r="L60" s="28" t="str">
        <f>CONCATENATE(SUMIF($C$6:$C60,C60,$G$6:$G$370)," / ",SUMIF($C$6:$C$370,C60,$G$6:$G$370))</f>
        <v>0 / 0</v>
      </c>
      <c r="M60" s="28" t="str">
        <f>CONCATENATE(SUMIF($D$6:$D60,D60,$G$6:$G$370)," / ",SUMIF($D$6:$D$370,D60,$G$6:$G$370))</f>
        <v>0 / 0</v>
      </c>
      <c r="N60" s="28" t="str">
        <f>CONCATENATE(SUM($G$6:$G60)," / ",SUM($G$6:$G$370))</f>
        <v>0 / 2244,5</v>
      </c>
      <c r="O60" s="24"/>
      <c r="P60" s="224">
        <v>0</v>
      </c>
      <c r="Q60" s="28" t="str">
        <f>CONCATENATE(SUMIF($C$6:$C60,C60,$P$6:$P$370)," / ",SUMIF($C$6:$C$370,C60,$P$6:$P$370))</f>
        <v>0 / 0</v>
      </c>
      <c r="R60" s="28" t="str">
        <f>CONCATENATE(SUMIF($D$6:$D60,$D60,$P$6:$P$370)," / ",SUMIF($D$6:$D$370,$D60,$P$6:$P$370))</f>
        <v>0 / 0</v>
      </c>
      <c r="S60" s="28" t="str">
        <f>CONCATENATE(SUM($P$6:$P60)," / ",SUM($P$6:$P$370))</f>
        <v>0 / 30850</v>
      </c>
    </row>
    <row r="61" spans="2:19" ht="13" thickBot="1">
      <c r="B61" s="238">
        <f t="shared" si="2"/>
        <v>42095</v>
      </c>
      <c r="C61" s="124">
        <f t="shared" si="0"/>
        <v>14</v>
      </c>
      <c r="D61" s="124">
        <f t="shared" si="1"/>
        <v>4</v>
      </c>
      <c r="E61" s="28">
        <v>20</v>
      </c>
      <c r="F61" s="27" t="s">
        <v>433</v>
      </c>
      <c r="G61" s="124"/>
      <c r="H61" s="28" t="str">
        <f>CONCATENATE(SUMIF($C$6:$C61,C61,$E$6:$E$370)," / ",SUMIF($C$6:$C$370,C61,$E$6:$E$370))</f>
        <v>30 / 51</v>
      </c>
      <c r="I61" s="28" t="str">
        <f>CONCATENATE(SUMIF($D$6:$D61,D61,$E$6:$E$370)," / ",SUMIF($D$6:$D$370,D61,$E$6:$E$370))</f>
        <v>20 / 254</v>
      </c>
      <c r="J61" s="28" t="str">
        <f>CONCATENATE(SUM($E$6:$E61)," / ",SUM($E$6:$E$370))</f>
        <v>452 / 2271</v>
      </c>
      <c r="K61" s="24" t="s">
        <v>427</v>
      </c>
      <c r="L61" s="28" t="str">
        <f>CONCATENATE(SUMIF($C$6:$C61,C61,$G$6:$G$370)," / ",SUMIF($C$6:$C$370,C61,$G$6:$G$370))</f>
        <v>0 / 0</v>
      </c>
      <c r="M61" s="28" t="str">
        <f>CONCATENATE(SUMIF($D$6:$D61,D61,$G$6:$G$370)," / ",SUMIF($D$6:$D$370,D61,$G$6:$G$370))</f>
        <v>0 / 0</v>
      </c>
      <c r="N61" s="28" t="str">
        <f>CONCATENATE(SUM($G$6:$G61)," / ",SUM($G$6:$G$370))</f>
        <v>0 / 2244,5</v>
      </c>
      <c r="O61" s="24"/>
      <c r="P61" s="224">
        <v>0</v>
      </c>
      <c r="Q61" s="28" t="str">
        <f>CONCATENATE(SUMIF($C$6:$C61,C61,$P$6:$P$370)," / ",SUMIF($C$6:$C$370,C61,$P$6:$P$370))</f>
        <v>0 / 0</v>
      </c>
      <c r="R61" s="28" t="str">
        <f>CONCATENATE(SUMIF($D$6:$D61,$D61,$P$6:$P$370)," / ",SUMIF($D$6:$D$370,$D61,$P$6:$P$370))</f>
        <v>0 / 0</v>
      </c>
      <c r="S61" s="28" t="str">
        <f>CONCATENATE(SUM($P$6:$P61)," / ",SUM($P$6:$P$370))</f>
        <v>0 / 30850</v>
      </c>
    </row>
    <row r="62" spans="2:19" ht="13" thickBot="1">
      <c r="B62" s="238">
        <f t="shared" si="2"/>
        <v>42096</v>
      </c>
      <c r="C62" s="124">
        <f t="shared" si="0"/>
        <v>14</v>
      </c>
      <c r="D62" s="124">
        <f t="shared" si="1"/>
        <v>4</v>
      </c>
      <c r="E62" s="28">
        <v>0</v>
      </c>
      <c r="F62" s="192"/>
      <c r="G62" s="124"/>
      <c r="H62" s="28" t="str">
        <f>CONCATENATE(SUMIF($C$6:$C62,C62,$E$6:$E$370)," / ",SUMIF($C$6:$C$370,C62,$E$6:$E$370))</f>
        <v>30 / 51</v>
      </c>
      <c r="I62" s="28" t="str">
        <f>CONCATENATE(SUMIF($D$6:$D62,D62,$E$6:$E$370)," / ",SUMIF($D$6:$D$370,D62,$E$6:$E$370))</f>
        <v>20 / 254</v>
      </c>
      <c r="J62" s="28" t="str">
        <f>CONCATENATE(SUM($E$6:$E62)," / ",SUM($E$6:$E$370))</f>
        <v>452 / 2271</v>
      </c>
      <c r="K62" s="24"/>
      <c r="L62" s="28" t="str">
        <f>CONCATENATE(SUMIF($C$6:$C62,C62,$G$6:$G$370)," / ",SUMIF($C$6:$C$370,C62,$G$6:$G$370))</f>
        <v>0 / 0</v>
      </c>
      <c r="M62" s="28" t="str">
        <f>CONCATENATE(SUMIF($D$6:$D62,D62,$G$6:$G$370)," / ",SUMIF($D$6:$D$370,D62,$G$6:$G$370))</f>
        <v>0 / 0</v>
      </c>
      <c r="N62" s="28" t="str">
        <f>CONCATENATE(SUM($G$6:$G62)," / ",SUM($G$6:$G$370))</f>
        <v>0 / 2244,5</v>
      </c>
      <c r="O62" s="24"/>
      <c r="P62" s="224">
        <v>0</v>
      </c>
      <c r="Q62" s="28" t="str">
        <f>CONCATENATE(SUMIF($C$6:$C62,C62,$P$6:$P$370)," / ",SUMIF($C$6:$C$370,C62,$P$6:$P$370))</f>
        <v>0 / 0</v>
      </c>
      <c r="R62" s="28" t="str">
        <f>CONCATENATE(SUMIF($D$6:$D62,$D62,$P$6:$P$370)," / ",SUMIF($D$6:$D$370,$D62,$P$6:$P$370))</f>
        <v>0 / 0</v>
      </c>
      <c r="S62" s="28" t="str">
        <f>CONCATENATE(SUM($P$6:$P62)," / ",SUM($P$6:$P$370))</f>
        <v>0 / 30850</v>
      </c>
    </row>
    <row r="63" spans="2:19" ht="13" thickBot="1">
      <c r="B63" s="238">
        <f t="shared" si="2"/>
        <v>42097</v>
      </c>
      <c r="C63" s="124">
        <f t="shared" si="0"/>
        <v>14</v>
      </c>
      <c r="D63" s="124">
        <f t="shared" si="1"/>
        <v>4</v>
      </c>
      <c r="E63" s="28">
        <v>21</v>
      </c>
      <c r="F63" s="27" t="s">
        <v>433</v>
      </c>
      <c r="G63" s="124"/>
      <c r="H63" s="28" t="str">
        <f>CONCATENATE(SUMIF($C$6:$C63,C63,$E$6:$E$370)," / ",SUMIF($C$6:$C$370,C63,$E$6:$E$370))</f>
        <v>51 / 51</v>
      </c>
      <c r="I63" s="28" t="str">
        <f>CONCATENATE(SUMIF($D$6:$D63,D63,$E$6:$E$370)," / ",SUMIF($D$6:$D$370,D63,$E$6:$E$370))</f>
        <v>41 / 254</v>
      </c>
      <c r="J63" s="28" t="str">
        <f>CONCATENATE(SUM($E$6:$E63)," / ",SUM($E$6:$E$370))</f>
        <v>473 / 2271</v>
      </c>
      <c r="K63" s="24" t="s">
        <v>427</v>
      </c>
      <c r="L63" s="28" t="str">
        <f>CONCATENATE(SUMIF($C$6:$C63,C63,$G$6:$G$370)," / ",SUMIF($C$6:$C$370,C63,$G$6:$G$370))</f>
        <v>0 / 0</v>
      </c>
      <c r="M63" s="28" t="str">
        <f>CONCATENATE(SUMIF($D$6:$D63,D63,$G$6:$G$370)," / ",SUMIF($D$6:$D$370,D63,$G$6:$G$370))</f>
        <v>0 / 0</v>
      </c>
      <c r="N63" s="28" t="str">
        <f>CONCATENATE(SUM($G$6:$G63)," / ",SUM($G$6:$G$370))</f>
        <v>0 / 2244,5</v>
      </c>
      <c r="O63" s="24"/>
      <c r="P63" s="224">
        <v>0</v>
      </c>
      <c r="Q63" s="28" t="str">
        <f>CONCATENATE(SUMIF($C$6:$C63,C63,$P$6:$P$370)," / ",SUMIF($C$6:$C$370,C63,$P$6:$P$370))</f>
        <v>0 / 0</v>
      </c>
      <c r="R63" s="28" t="str">
        <f>CONCATENATE(SUMIF($D$6:$D63,$D63,$P$6:$P$370)," / ",SUMIF($D$6:$D$370,$D63,$P$6:$P$370))</f>
        <v>0 / 0</v>
      </c>
      <c r="S63" s="28" t="str">
        <f>CONCATENATE(SUM($P$6:$P63)," / ",SUM($P$6:$P$370))</f>
        <v>0 / 30850</v>
      </c>
    </row>
    <row r="64" spans="2:19" ht="13" thickBot="1">
      <c r="B64" s="238">
        <f t="shared" si="2"/>
        <v>42098</v>
      </c>
      <c r="C64" s="124">
        <f t="shared" si="0"/>
        <v>14</v>
      </c>
      <c r="D64" s="124">
        <f t="shared" si="1"/>
        <v>4</v>
      </c>
      <c r="E64" s="28">
        <v>0</v>
      </c>
      <c r="F64" s="192"/>
      <c r="G64" s="124"/>
      <c r="H64" s="28" t="str">
        <f>CONCATENATE(SUMIF($C$6:$C64,C64,$E$6:$E$370)," / ",SUMIF($C$6:$C$370,C64,$E$6:$E$370))</f>
        <v>51 / 51</v>
      </c>
      <c r="I64" s="28" t="str">
        <f>CONCATENATE(SUMIF($D$6:$D64,D64,$E$6:$E$370)," / ",SUMIF($D$6:$D$370,D64,$E$6:$E$370))</f>
        <v>41 / 254</v>
      </c>
      <c r="J64" s="28" t="str">
        <f>CONCATENATE(SUM($E$6:$E64)," / ",SUM($E$6:$E$370))</f>
        <v>473 / 2271</v>
      </c>
      <c r="K64" s="24"/>
      <c r="L64" s="28" t="str">
        <f>CONCATENATE(SUMIF($C$6:$C64,C64,$G$6:$G$370)," / ",SUMIF($C$6:$C$370,C64,$G$6:$G$370))</f>
        <v>0 / 0</v>
      </c>
      <c r="M64" s="28" t="str">
        <f>CONCATENATE(SUMIF($D$6:$D64,D64,$G$6:$G$370)," / ",SUMIF($D$6:$D$370,D64,$G$6:$G$370))</f>
        <v>0 / 0</v>
      </c>
      <c r="N64" s="28" t="str">
        <f>CONCATENATE(SUM($G$6:$G64)," / ",SUM($G$6:$G$370))</f>
        <v>0 / 2244,5</v>
      </c>
      <c r="O64" s="24"/>
      <c r="P64" s="224">
        <v>0</v>
      </c>
      <c r="Q64" s="28" t="str">
        <f>CONCATENATE(SUMIF($C$6:$C64,C64,$P$6:$P$370)," / ",SUMIF($C$6:$C$370,C64,$P$6:$P$370))</f>
        <v>0 / 0</v>
      </c>
      <c r="R64" s="28" t="str">
        <f>CONCATENATE(SUMIF($D$6:$D64,$D64,$P$6:$P$370)," / ",SUMIF($D$6:$D$370,$D64,$P$6:$P$370))</f>
        <v>0 / 0</v>
      </c>
      <c r="S64" s="28" t="str">
        <f>CONCATENATE(SUM($P$6:$P64)," / ",SUM($P$6:$P$370))</f>
        <v>0 / 30850</v>
      </c>
    </row>
    <row r="65" spans="2:19" ht="13" thickBot="1">
      <c r="B65" s="238">
        <f t="shared" si="2"/>
        <v>42099</v>
      </c>
      <c r="C65" s="124">
        <f t="shared" si="0"/>
        <v>15</v>
      </c>
      <c r="D65" s="124">
        <f t="shared" si="1"/>
        <v>4</v>
      </c>
      <c r="E65" s="28">
        <v>0</v>
      </c>
      <c r="F65" s="192"/>
      <c r="G65" s="124"/>
      <c r="H65" s="28" t="str">
        <f>CONCATENATE(SUMIF($C$6:$C65,C65,$E$6:$E$370)," / ",SUMIF($C$6:$C$370,C65,$E$6:$E$370))</f>
        <v>0 / 49</v>
      </c>
      <c r="I65" s="28" t="str">
        <f>CONCATENATE(SUMIF($D$6:$D65,D65,$E$6:$E$370)," / ",SUMIF($D$6:$D$370,D65,$E$6:$E$370))</f>
        <v>41 / 254</v>
      </c>
      <c r="J65" s="28" t="str">
        <f>CONCATENATE(SUM($E$6:$E65)," / ",SUM($E$6:$E$370))</f>
        <v>473 / 2271</v>
      </c>
      <c r="K65" s="24"/>
      <c r="L65" s="28" t="str">
        <f>CONCATENATE(SUMIF($C$6:$C65,C65,$G$6:$G$370)," / ",SUMIF($C$6:$C$370,C65,$G$6:$G$370))</f>
        <v>0 / 0</v>
      </c>
      <c r="M65" s="28" t="str">
        <f>CONCATENATE(SUMIF($D$6:$D65,D65,$G$6:$G$370)," / ",SUMIF($D$6:$D$370,D65,$G$6:$G$370))</f>
        <v>0 / 0</v>
      </c>
      <c r="N65" s="28" t="str">
        <f>CONCATENATE(SUM($G$6:$G65)," / ",SUM($G$6:$G$370))</f>
        <v>0 / 2244,5</v>
      </c>
      <c r="O65" s="24"/>
      <c r="P65" s="224">
        <v>0</v>
      </c>
      <c r="Q65" s="28" t="str">
        <f>CONCATENATE(SUMIF($C$6:$C65,C65,$P$6:$P$370)," / ",SUMIF($C$6:$C$370,C65,$P$6:$P$370))</f>
        <v>0 / 0</v>
      </c>
      <c r="R65" s="28" t="str">
        <f>CONCATENATE(SUMIF($D$6:$D65,$D65,$P$6:$P$370)," / ",SUMIF($D$6:$D$370,$D65,$P$6:$P$370))</f>
        <v>0 / 0</v>
      </c>
      <c r="S65" s="28" t="str">
        <f>CONCATENATE(SUM($P$6:$P65)," / ",SUM($P$6:$P$370))</f>
        <v>0 / 30850</v>
      </c>
    </row>
    <row r="66" spans="2:19" ht="13" thickBot="1">
      <c r="B66" s="238">
        <f t="shared" si="2"/>
        <v>42100</v>
      </c>
      <c r="C66" s="124">
        <f t="shared" si="0"/>
        <v>15</v>
      </c>
      <c r="D66" s="124">
        <f t="shared" si="1"/>
        <v>4</v>
      </c>
      <c r="E66" s="28">
        <v>15</v>
      </c>
      <c r="F66" s="27" t="s">
        <v>435</v>
      </c>
      <c r="G66" s="124"/>
      <c r="H66" s="28" t="str">
        <f>CONCATENATE(SUMIF($C$6:$C66,C66,$E$6:$E$370)," / ",SUMIF($C$6:$C$370,C66,$E$6:$E$370))</f>
        <v>15 / 49</v>
      </c>
      <c r="I66" s="28" t="str">
        <f>CONCATENATE(SUMIF($D$6:$D66,D66,$E$6:$E$370)," / ",SUMIF($D$6:$D$370,D66,$E$6:$E$370))</f>
        <v>56 / 254</v>
      </c>
      <c r="J66" s="28" t="str">
        <f>CONCATENATE(SUM($E$6:$E66)," / ",SUM($E$6:$E$370))</f>
        <v>488 / 2271</v>
      </c>
      <c r="K66" s="24" t="s">
        <v>427</v>
      </c>
      <c r="L66" s="28" t="str">
        <f>CONCATENATE(SUMIF($C$6:$C66,C66,$G$6:$G$370)," / ",SUMIF($C$6:$C$370,C66,$G$6:$G$370))</f>
        <v>0 / 0</v>
      </c>
      <c r="M66" s="28" t="str">
        <f>CONCATENATE(SUMIF($D$6:$D66,D66,$G$6:$G$370)," / ",SUMIF($D$6:$D$370,D66,$G$6:$G$370))</f>
        <v>0 / 0</v>
      </c>
      <c r="N66" s="28" t="str">
        <f>CONCATENATE(SUM($G$6:$G66)," / ",SUM($G$6:$G$370))</f>
        <v>0 / 2244,5</v>
      </c>
      <c r="O66" s="24"/>
      <c r="P66" s="224">
        <v>0</v>
      </c>
      <c r="Q66" s="28" t="str">
        <f>CONCATENATE(SUMIF($C$6:$C66,C66,$P$6:$P$370)," / ",SUMIF($C$6:$C$370,C66,$P$6:$P$370))</f>
        <v>0 / 0</v>
      </c>
      <c r="R66" s="28" t="str">
        <f>CONCATENATE(SUMIF($D$6:$D66,$D66,$P$6:$P$370)," / ",SUMIF($D$6:$D$370,$D66,$P$6:$P$370))</f>
        <v>0 / 0</v>
      </c>
      <c r="S66" s="28" t="str">
        <f>CONCATENATE(SUM($P$6:$P66)," / ",SUM($P$6:$P$370))</f>
        <v>0 / 30850</v>
      </c>
    </row>
    <row r="67" spans="2:19" ht="13" thickBot="1">
      <c r="B67" s="238">
        <f t="shared" si="2"/>
        <v>42101</v>
      </c>
      <c r="C67" s="124">
        <f t="shared" si="0"/>
        <v>15</v>
      </c>
      <c r="D67" s="124">
        <f t="shared" si="1"/>
        <v>4</v>
      </c>
      <c r="E67" s="28">
        <v>0</v>
      </c>
      <c r="F67" s="192"/>
      <c r="G67" s="124"/>
      <c r="H67" s="28" t="str">
        <f>CONCATENATE(SUMIF($C$6:$C67,C67,$E$6:$E$370)," / ",SUMIF($C$6:$C$370,C67,$E$6:$E$370))</f>
        <v>15 / 49</v>
      </c>
      <c r="I67" s="28" t="str">
        <f>CONCATENATE(SUMIF($D$6:$D67,D67,$E$6:$E$370)," / ",SUMIF($D$6:$D$370,D67,$E$6:$E$370))</f>
        <v>56 / 254</v>
      </c>
      <c r="J67" s="28" t="str">
        <f>CONCATENATE(SUM($E$6:$E67)," / ",SUM($E$6:$E$370))</f>
        <v>488 / 2271</v>
      </c>
      <c r="K67" s="24"/>
      <c r="L67" s="28" t="str">
        <f>CONCATENATE(SUMIF($C$6:$C67,C67,$G$6:$G$370)," / ",SUMIF($C$6:$C$370,C67,$G$6:$G$370))</f>
        <v>0 / 0</v>
      </c>
      <c r="M67" s="28" t="str">
        <f>CONCATENATE(SUMIF($D$6:$D67,D67,$G$6:$G$370)," / ",SUMIF($D$6:$D$370,D67,$G$6:$G$370))</f>
        <v>0 / 0</v>
      </c>
      <c r="N67" s="28" t="str">
        <f>CONCATENATE(SUM($G$6:$G67)," / ",SUM($G$6:$G$370))</f>
        <v>0 / 2244,5</v>
      </c>
      <c r="O67" s="24"/>
      <c r="P67" s="224">
        <v>0</v>
      </c>
      <c r="Q67" s="28" t="str">
        <f>CONCATENATE(SUMIF($C$6:$C67,C67,$P$6:$P$370)," / ",SUMIF($C$6:$C$370,C67,$P$6:$P$370))</f>
        <v>0 / 0</v>
      </c>
      <c r="R67" s="28" t="str">
        <f>CONCATENATE(SUMIF($D$6:$D67,$D67,$P$6:$P$370)," / ",SUMIF($D$6:$D$370,$D67,$P$6:$P$370))</f>
        <v>0 / 0</v>
      </c>
      <c r="S67" s="28" t="str">
        <f>CONCATENATE(SUM($P$6:$P67)," / ",SUM($P$6:$P$370))</f>
        <v>0 / 30850</v>
      </c>
    </row>
    <row r="68" spans="2:19" ht="13" thickBot="1">
      <c r="B68" s="238">
        <f t="shared" si="2"/>
        <v>42102</v>
      </c>
      <c r="C68" s="124">
        <f t="shared" si="0"/>
        <v>15</v>
      </c>
      <c r="D68" s="124">
        <f t="shared" si="1"/>
        <v>4</v>
      </c>
      <c r="E68" s="28">
        <v>12</v>
      </c>
      <c r="F68" s="27" t="s">
        <v>435</v>
      </c>
      <c r="G68" s="124"/>
      <c r="H68" s="28" t="str">
        <f>CONCATENATE(SUMIF($C$6:$C68,C68,$E$6:$E$370)," / ",SUMIF($C$6:$C$370,C68,$E$6:$E$370))</f>
        <v>27 / 49</v>
      </c>
      <c r="I68" s="28" t="str">
        <f>CONCATENATE(SUMIF($D$6:$D68,D68,$E$6:$E$370)," / ",SUMIF($D$6:$D$370,D68,$E$6:$E$370))</f>
        <v>68 / 254</v>
      </c>
      <c r="J68" s="28" t="str">
        <f>CONCATENATE(SUM($E$6:$E68)," / ",SUM($E$6:$E$370))</f>
        <v>500 / 2271</v>
      </c>
      <c r="K68" s="24" t="s">
        <v>427</v>
      </c>
      <c r="L68" s="28" t="str">
        <f>CONCATENATE(SUMIF($C$6:$C68,C68,$G$6:$G$370)," / ",SUMIF($C$6:$C$370,C68,$G$6:$G$370))</f>
        <v>0 / 0</v>
      </c>
      <c r="M68" s="28" t="str">
        <f>CONCATENATE(SUMIF($D$6:$D68,D68,$G$6:$G$370)," / ",SUMIF($D$6:$D$370,D68,$G$6:$G$370))</f>
        <v>0 / 0</v>
      </c>
      <c r="N68" s="28" t="str">
        <f>CONCATENATE(SUM($G$6:$G68)," / ",SUM($G$6:$G$370))</f>
        <v>0 / 2244,5</v>
      </c>
      <c r="O68" s="24"/>
      <c r="P68" s="224">
        <v>0</v>
      </c>
      <c r="Q68" s="28" t="str">
        <f>CONCATENATE(SUMIF($C$6:$C68,C68,$P$6:$P$370)," / ",SUMIF($C$6:$C$370,C68,$P$6:$P$370))</f>
        <v>0 / 0</v>
      </c>
      <c r="R68" s="28" t="str">
        <f>CONCATENATE(SUMIF($D$6:$D68,$D68,$P$6:$P$370)," / ",SUMIF($D$6:$D$370,$D68,$P$6:$P$370))</f>
        <v>0 / 0</v>
      </c>
      <c r="S68" s="28" t="str">
        <f>CONCATENATE(SUM($P$6:$P68)," / ",SUM($P$6:$P$370))</f>
        <v>0 / 30850</v>
      </c>
    </row>
    <row r="69" spans="2:19" ht="13" thickBot="1">
      <c r="B69" s="238">
        <f t="shared" si="2"/>
        <v>42103</v>
      </c>
      <c r="C69" s="124">
        <f t="shared" si="0"/>
        <v>15</v>
      </c>
      <c r="D69" s="124">
        <f t="shared" si="1"/>
        <v>4</v>
      </c>
      <c r="E69" s="28">
        <v>0</v>
      </c>
      <c r="F69" s="192"/>
      <c r="G69" s="124"/>
      <c r="H69" s="28" t="str">
        <f>CONCATENATE(SUMIF($C$6:$C69,C69,$E$6:$E$370)," / ",SUMIF($C$6:$C$370,C69,$E$6:$E$370))</f>
        <v>27 / 49</v>
      </c>
      <c r="I69" s="28" t="str">
        <f>CONCATENATE(SUMIF($D$6:$D69,D69,$E$6:$E$370)," / ",SUMIF($D$6:$D$370,D69,$E$6:$E$370))</f>
        <v>68 / 254</v>
      </c>
      <c r="J69" s="28" t="str">
        <f>CONCATENATE(SUM($E$6:$E69)," / ",SUM($E$6:$E$370))</f>
        <v>500 / 2271</v>
      </c>
      <c r="K69" s="24"/>
      <c r="L69" s="28" t="str">
        <f>CONCATENATE(SUMIF($C$6:$C69,C69,$G$6:$G$370)," / ",SUMIF($C$6:$C$370,C69,$G$6:$G$370))</f>
        <v>0 / 0</v>
      </c>
      <c r="M69" s="28" t="str">
        <f>CONCATENATE(SUMIF($D$6:$D69,D69,$G$6:$G$370)," / ",SUMIF($D$6:$D$370,D69,$G$6:$G$370))</f>
        <v>0 / 0</v>
      </c>
      <c r="N69" s="28" t="str">
        <f>CONCATENATE(SUM($G$6:$G69)," / ",SUM($G$6:$G$370))</f>
        <v>0 / 2244,5</v>
      </c>
      <c r="O69" s="24"/>
      <c r="P69" s="224">
        <v>0</v>
      </c>
      <c r="Q69" s="28" t="str">
        <f>CONCATENATE(SUMIF($C$6:$C69,C69,$P$6:$P$370)," / ",SUMIF($C$6:$C$370,C69,$P$6:$P$370))</f>
        <v>0 / 0</v>
      </c>
      <c r="R69" s="28" t="str">
        <f>CONCATENATE(SUMIF($D$6:$D69,$D69,$P$6:$P$370)," / ",SUMIF($D$6:$D$370,$D69,$P$6:$P$370))</f>
        <v>0 / 0</v>
      </c>
      <c r="S69" s="28" t="str">
        <f>CONCATENATE(SUM($P$6:$P69)," / ",SUM($P$6:$P$370))</f>
        <v>0 / 30850</v>
      </c>
    </row>
    <row r="70" spans="2:19" ht="13" thickBot="1">
      <c r="B70" s="238">
        <f t="shared" si="2"/>
        <v>42104</v>
      </c>
      <c r="C70" s="124">
        <f t="shared" si="0"/>
        <v>15</v>
      </c>
      <c r="D70" s="124">
        <f t="shared" ref="D70:D89" si="4">MONTH(B70)</f>
        <v>4</v>
      </c>
      <c r="E70" s="28">
        <v>22</v>
      </c>
      <c r="F70" s="27" t="s">
        <v>434</v>
      </c>
      <c r="G70" s="124"/>
      <c r="H70" s="28" t="str">
        <f>CONCATENATE(SUMIF($C$6:$C70,C70,$E$6:$E$370)," / ",SUMIF($C$6:$C$370,C70,$E$6:$E$370))</f>
        <v>49 / 49</v>
      </c>
      <c r="I70" s="28" t="str">
        <f>CONCATENATE(SUMIF($D$6:$D70,D70,$E$6:$E$370)," / ",SUMIF($D$6:$D$370,D70,$E$6:$E$370))</f>
        <v>90 / 254</v>
      </c>
      <c r="J70" s="28" t="str">
        <f>CONCATENATE(SUM($E$6:$E70)," / ",SUM($E$6:$E$370))</f>
        <v>522 / 2271</v>
      </c>
      <c r="K70" s="24" t="s">
        <v>427</v>
      </c>
      <c r="L70" s="28" t="str">
        <f>CONCATENATE(SUMIF($C$6:$C70,C70,$G$6:$G$370)," / ",SUMIF($C$6:$C$370,C70,$G$6:$G$370))</f>
        <v>0 / 0</v>
      </c>
      <c r="M70" s="28" t="str">
        <f>CONCATENATE(SUMIF($D$6:$D70,D70,$G$6:$G$370)," / ",SUMIF($D$6:$D$370,D70,$G$6:$G$370))</f>
        <v>0 / 0</v>
      </c>
      <c r="N70" s="28" t="str">
        <f>CONCATENATE(SUM($G$6:$G70)," / ",SUM($G$6:$G$370))</f>
        <v>0 / 2244,5</v>
      </c>
      <c r="O70" s="24"/>
      <c r="P70" s="224">
        <v>0</v>
      </c>
      <c r="Q70" s="28" t="str">
        <f>CONCATENATE(SUMIF($C$6:$C70,C70,$P$6:$P$370)," / ",SUMIF($C$6:$C$370,C70,$P$6:$P$370))</f>
        <v>0 / 0</v>
      </c>
      <c r="R70" s="28" t="str">
        <f>CONCATENATE(SUMIF($D$6:$D70,$D70,$P$6:$P$370)," / ",SUMIF($D$6:$D$370,$D70,$P$6:$P$370))</f>
        <v>0 / 0</v>
      </c>
      <c r="S70" s="28" t="str">
        <f>CONCATENATE(SUM($P$6:$P70)," / ",SUM($P$6:$P$370))</f>
        <v>0 / 30850</v>
      </c>
    </row>
    <row r="71" spans="2:19" ht="13" thickBot="1">
      <c r="B71" s="238">
        <f t="shared" si="2"/>
        <v>42105</v>
      </c>
      <c r="C71" s="124">
        <f t="shared" ref="C71:C134" si="5">WEEKNUM($B71)</f>
        <v>15</v>
      </c>
      <c r="D71" s="124">
        <f t="shared" si="4"/>
        <v>4</v>
      </c>
      <c r="E71" s="28">
        <v>0</v>
      </c>
      <c r="G71" s="124"/>
      <c r="H71" s="28" t="str">
        <f>CONCATENATE(SUMIF($C$6:$C71,C71,$E$6:$E$370)," / ",SUMIF($C$6:$C$370,C71,$E$6:$E$370))</f>
        <v>49 / 49</v>
      </c>
      <c r="I71" s="28" t="str">
        <f>CONCATENATE(SUMIF($D$6:$D71,D71,$E$6:$E$370)," / ",SUMIF($D$6:$D$370,D71,$E$6:$E$370))</f>
        <v>90 / 254</v>
      </c>
      <c r="J71" s="28" t="str">
        <f>CONCATENATE(SUM($E$6:$E71)," / ",SUM($E$6:$E$370))</f>
        <v>522 / 2271</v>
      </c>
      <c r="K71" s="24"/>
      <c r="L71" s="28" t="str">
        <f>CONCATENATE(SUMIF($C$6:$C71,C71,$G$6:$G$370)," / ",SUMIF($C$6:$C$370,C71,$G$6:$G$370))</f>
        <v>0 / 0</v>
      </c>
      <c r="M71" s="28" t="str">
        <f>CONCATENATE(SUMIF($D$6:$D71,D71,$G$6:$G$370)," / ",SUMIF($D$6:$D$370,D71,$G$6:$G$370))</f>
        <v>0 / 0</v>
      </c>
      <c r="N71" s="28" t="str">
        <f>CONCATENATE(SUM($G$6:$G71)," / ",SUM($G$6:$G$370))</f>
        <v>0 / 2244,5</v>
      </c>
      <c r="O71" s="24"/>
      <c r="P71" s="224">
        <v>0</v>
      </c>
      <c r="Q71" s="28" t="str">
        <f>CONCATENATE(SUMIF($C$6:$C71,C71,$P$6:$P$370)," / ",SUMIF($C$6:$C$370,C71,$P$6:$P$370))</f>
        <v>0 / 0</v>
      </c>
      <c r="R71" s="28" t="str">
        <f>CONCATENATE(SUMIF($D$6:$D71,$D71,$P$6:$P$370)," / ",SUMIF($D$6:$D$370,$D71,$P$6:$P$370))</f>
        <v>0 / 0</v>
      </c>
      <c r="S71" s="28" t="str">
        <f>CONCATENATE(SUM($P$6:$P71)," / ",SUM($P$6:$P$370))</f>
        <v>0 / 30850</v>
      </c>
    </row>
    <row r="72" spans="2:19" ht="13" thickBot="1">
      <c r="B72" s="238">
        <f t="shared" ref="B72:B135" si="6">B71+1</f>
        <v>42106</v>
      </c>
      <c r="C72" s="124">
        <f t="shared" si="5"/>
        <v>16</v>
      </c>
      <c r="D72" s="124">
        <f t="shared" si="4"/>
        <v>4</v>
      </c>
      <c r="E72" s="28">
        <v>9</v>
      </c>
      <c r="F72" s="27" t="s">
        <v>436</v>
      </c>
      <c r="G72" s="124"/>
      <c r="H72" s="28" t="str">
        <f>CONCATENATE(SUMIF($C$6:$C72,C72,$E$6:$E$370)," / ",SUMIF($C$6:$C$370,C72,$E$6:$E$370))</f>
        <v>9 / 69</v>
      </c>
      <c r="I72" s="28" t="str">
        <f>CONCATENATE(SUMIF($D$6:$D72,D72,$E$6:$E$370)," / ",SUMIF($D$6:$D$370,D72,$E$6:$E$370))</f>
        <v>99 / 254</v>
      </c>
      <c r="J72" s="28" t="str">
        <f>CONCATENATE(SUM($E$6:$E72)," / ",SUM($E$6:$E$370))</f>
        <v>531 / 2271</v>
      </c>
      <c r="K72" s="24" t="s">
        <v>380</v>
      </c>
      <c r="L72" s="28" t="str">
        <f>CONCATENATE(SUMIF($C$6:$C72,C72,$G$6:$G$370)," / ",SUMIF($C$6:$C$370,C72,$G$6:$G$370))</f>
        <v>0 / 0</v>
      </c>
      <c r="M72" s="28" t="str">
        <f>CONCATENATE(SUMIF($D$6:$D72,D72,$G$6:$G$370)," / ",SUMIF($D$6:$D$370,D72,$G$6:$G$370))</f>
        <v>0 / 0</v>
      </c>
      <c r="N72" s="28" t="str">
        <f>CONCATENATE(SUM($G$6:$G72)," / ",SUM($G$6:$G$370))</f>
        <v>0 / 2244,5</v>
      </c>
      <c r="O72" s="24"/>
      <c r="P72" s="224">
        <v>0</v>
      </c>
      <c r="Q72" s="28" t="str">
        <f>CONCATENATE(SUMIF($C$6:$C72,C72,$P$6:$P$370)," / ",SUMIF($C$6:$C$370,C72,$P$6:$P$370))</f>
        <v>0 / 0</v>
      </c>
      <c r="R72" s="28" t="str">
        <f>CONCATENATE(SUMIF($D$6:$D72,$D72,$P$6:$P$370)," / ",SUMIF($D$6:$D$370,$D72,$P$6:$P$370))</f>
        <v>0 / 0</v>
      </c>
      <c r="S72" s="28" t="str">
        <f>CONCATENATE(SUM($P$6:$P72)," / ",SUM($P$6:$P$370))</f>
        <v>0 / 30850</v>
      </c>
    </row>
    <row r="73" spans="2:19" ht="13" thickBot="1">
      <c r="B73" s="238">
        <f t="shared" si="6"/>
        <v>42107</v>
      </c>
      <c r="C73" s="124">
        <f t="shared" si="5"/>
        <v>16</v>
      </c>
      <c r="D73" s="124">
        <f t="shared" si="4"/>
        <v>4</v>
      </c>
      <c r="E73" s="28">
        <v>20</v>
      </c>
      <c r="F73" s="27" t="s">
        <v>436</v>
      </c>
      <c r="G73" s="124"/>
      <c r="H73" s="28" t="str">
        <f>CONCATENATE(SUMIF($C$6:$C73,C73,$E$6:$E$370)," / ",SUMIF($C$6:$C$370,C73,$E$6:$E$370))</f>
        <v>29 / 69</v>
      </c>
      <c r="I73" s="28" t="str">
        <f>CONCATENATE(SUMIF($D$6:$D73,D73,$E$6:$E$370)," / ",SUMIF($D$6:$D$370,D73,$E$6:$E$370))</f>
        <v>119 / 254</v>
      </c>
      <c r="J73" s="28" t="str">
        <f>CONCATENATE(SUM($E$6:$E73)," / ",SUM($E$6:$E$370))</f>
        <v>551 / 2271</v>
      </c>
      <c r="K73" s="24" t="s">
        <v>380</v>
      </c>
      <c r="L73" s="28" t="str">
        <f>CONCATENATE(SUMIF($C$6:$C73,C73,$G$6:$G$370)," / ",SUMIF($C$6:$C$370,C73,$G$6:$G$370))</f>
        <v>0 / 0</v>
      </c>
      <c r="M73" s="28" t="str">
        <f>CONCATENATE(SUMIF($D$6:$D73,D73,$G$6:$G$370)," / ",SUMIF($D$6:$D$370,D73,$G$6:$G$370))</f>
        <v>0 / 0</v>
      </c>
      <c r="N73" s="28" t="str">
        <f>CONCATENATE(SUM($G$6:$G73)," / ",SUM($G$6:$G$370))</f>
        <v>0 / 2244,5</v>
      </c>
      <c r="O73" s="24"/>
      <c r="P73" s="224">
        <v>0</v>
      </c>
      <c r="Q73" s="28" t="str">
        <f>CONCATENATE(SUMIF($C$6:$C73,C73,$P$6:$P$370)," / ",SUMIF($C$6:$C$370,C73,$P$6:$P$370))</f>
        <v>0 / 0</v>
      </c>
      <c r="R73" s="28" t="str">
        <f>CONCATENATE(SUMIF($D$6:$D73,$D73,$P$6:$P$370)," / ",SUMIF($D$6:$D$370,$D73,$P$6:$P$370))</f>
        <v>0 / 0</v>
      </c>
      <c r="S73" s="28" t="str">
        <f>CONCATENATE(SUM($P$6:$P73)," / ",SUM($P$6:$P$370))</f>
        <v>0 / 30850</v>
      </c>
    </row>
    <row r="74" spans="2:19" ht="13" thickBot="1">
      <c r="B74" s="238">
        <f t="shared" si="6"/>
        <v>42108</v>
      </c>
      <c r="C74" s="124">
        <f t="shared" si="5"/>
        <v>16</v>
      </c>
      <c r="D74" s="124">
        <f t="shared" si="4"/>
        <v>4</v>
      </c>
      <c r="E74" s="28">
        <v>10</v>
      </c>
      <c r="F74" s="27" t="s">
        <v>429</v>
      </c>
      <c r="G74" s="124"/>
      <c r="H74" s="28" t="str">
        <f>CONCATENATE(SUMIF($C$6:$C74,C74,$E$6:$E$370)," / ",SUMIF($C$6:$C$370,C74,$E$6:$E$370))</f>
        <v>39 / 69</v>
      </c>
      <c r="I74" s="28" t="str">
        <f>CONCATENATE(SUMIF($D$6:$D74,D74,$E$6:$E$370)," / ",SUMIF($D$6:$D$370,D74,$E$6:$E$370))</f>
        <v>129 / 254</v>
      </c>
      <c r="J74" s="28" t="str">
        <f>CONCATENATE(SUM($E$6:$E74)," / ",SUM($E$6:$E$370))</f>
        <v>561 / 2271</v>
      </c>
      <c r="K74" s="24" t="s">
        <v>380</v>
      </c>
      <c r="L74" s="28" t="str">
        <f>CONCATENATE(SUMIF($C$6:$C74,C74,$G$6:$G$370)," / ",SUMIF($C$6:$C$370,C74,$G$6:$G$370))</f>
        <v>0 / 0</v>
      </c>
      <c r="M74" s="28" t="str">
        <f>CONCATENATE(SUMIF($D$6:$D74,D74,$G$6:$G$370)," / ",SUMIF($D$6:$D$370,D74,$G$6:$G$370))</f>
        <v>0 / 0</v>
      </c>
      <c r="N74" s="28" t="str">
        <f>CONCATENATE(SUM($G$6:$G74)," / ",SUM($G$6:$G$370))</f>
        <v>0 / 2244,5</v>
      </c>
      <c r="O74" s="24"/>
      <c r="P74" s="224">
        <v>0</v>
      </c>
      <c r="Q74" s="28" t="str">
        <f>CONCATENATE(SUMIF($C$6:$C74,C74,$P$6:$P$370)," / ",SUMIF($C$6:$C$370,C74,$P$6:$P$370))</f>
        <v>0 / 0</v>
      </c>
      <c r="R74" s="28" t="str">
        <f>CONCATENATE(SUMIF($D$6:$D74,$D74,$P$6:$P$370)," / ",SUMIF($D$6:$D$370,$D74,$P$6:$P$370))</f>
        <v>0 / 0</v>
      </c>
      <c r="S74" s="28" t="str">
        <f>CONCATENATE(SUM($P$6:$P74)," / ",SUM($P$6:$P$370))</f>
        <v>0 / 30850</v>
      </c>
    </row>
    <row r="75" spans="2:19" ht="13" thickBot="1">
      <c r="B75" s="238">
        <f t="shared" si="6"/>
        <v>42109</v>
      </c>
      <c r="C75" s="124">
        <f t="shared" si="5"/>
        <v>16</v>
      </c>
      <c r="D75" s="124">
        <f t="shared" si="4"/>
        <v>4</v>
      </c>
      <c r="E75" s="28">
        <v>0</v>
      </c>
      <c r="F75" s="192"/>
      <c r="G75" s="124"/>
      <c r="H75" s="28" t="str">
        <f>CONCATENATE(SUMIF($C$6:$C75,C75,$E$6:$E$370)," / ",SUMIF($C$6:$C$370,C75,$E$6:$E$370))</f>
        <v>39 / 69</v>
      </c>
      <c r="I75" s="28" t="str">
        <f>CONCATENATE(SUMIF($D$6:$D75,D75,$E$6:$E$370)," / ",SUMIF($D$6:$D$370,D75,$E$6:$E$370))</f>
        <v>129 / 254</v>
      </c>
      <c r="J75" s="28" t="str">
        <f>CONCATENATE(SUM($E$6:$E75)," / ",SUM($E$6:$E$370))</f>
        <v>561 / 2271</v>
      </c>
      <c r="K75" s="24"/>
      <c r="L75" s="28" t="str">
        <f>CONCATENATE(SUMIF($C$6:$C75,C75,$G$6:$G$370)," / ",SUMIF($C$6:$C$370,C75,$G$6:$G$370))</f>
        <v>0 / 0</v>
      </c>
      <c r="M75" s="28" t="str">
        <f>CONCATENATE(SUMIF($D$6:$D75,D75,$G$6:$G$370)," / ",SUMIF($D$6:$D$370,D75,$G$6:$G$370))</f>
        <v>0 / 0</v>
      </c>
      <c r="N75" s="28" t="str">
        <f>CONCATENATE(SUM($G$6:$G75)," / ",SUM($G$6:$G$370))</f>
        <v>0 / 2244,5</v>
      </c>
      <c r="O75" s="24"/>
      <c r="P75" s="224">
        <v>0</v>
      </c>
      <c r="Q75" s="28" t="str">
        <f>CONCATENATE(SUMIF($C$6:$C75,C75,$P$6:$P$370)," / ",SUMIF($C$6:$C$370,C75,$P$6:$P$370))</f>
        <v>0 / 0</v>
      </c>
      <c r="R75" s="28" t="str">
        <f>CONCATENATE(SUMIF($D$6:$D75,$D75,$P$6:$P$370)," / ",SUMIF($D$6:$D$370,$D75,$P$6:$P$370))</f>
        <v>0 / 0</v>
      </c>
      <c r="S75" s="28" t="str">
        <f>CONCATENATE(SUM($P$6:$P75)," / ",SUM($P$6:$P$370))</f>
        <v>0 / 30850</v>
      </c>
    </row>
    <row r="76" spans="2:19" ht="13" thickBot="1">
      <c r="B76" s="238">
        <f t="shared" si="6"/>
        <v>42110</v>
      </c>
      <c r="C76" s="124">
        <f t="shared" si="5"/>
        <v>16</v>
      </c>
      <c r="D76" s="124">
        <f t="shared" si="4"/>
        <v>4</v>
      </c>
      <c r="E76" s="28">
        <v>30</v>
      </c>
      <c r="F76" s="27" t="s">
        <v>438</v>
      </c>
      <c r="G76" s="124"/>
      <c r="H76" s="28" t="str">
        <f>CONCATENATE(SUMIF($C$6:$C76,C76,$E$6:$E$370)," / ",SUMIF($C$6:$C$370,C76,$E$6:$E$370))</f>
        <v>69 / 69</v>
      </c>
      <c r="I76" s="28" t="str">
        <f>CONCATENATE(SUMIF($D$6:$D76,D76,$E$6:$E$370)," / ",SUMIF($D$6:$D$370,D76,$E$6:$E$370))</f>
        <v>159 / 254</v>
      </c>
      <c r="J76" s="28" t="str">
        <f>CONCATENATE(SUM($E$6:$E76)," / ",SUM($E$6:$E$370))</f>
        <v>591 / 2271</v>
      </c>
      <c r="K76" s="24" t="s">
        <v>380</v>
      </c>
      <c r="L76" s="28" t="str">
        <f>CONCATENATE(SUMIF($C$6:$C76,C76,$G$6:$G$370)," / ",SUMIF($C$6:$C$370,C76,$G$6:$G$370))</f>
        <v>0 / 0</v>
      </c>
      <c r="M76" s="28" t="str">
        <f>CONCATENATE(SUMIF($D$6:$D76,D76,$G$6:$G$370)," / ",SUMIF($D$6:$D$370,D76,$G$6:$G$370))</f>
        <v>0 / 0</v>
      </c>
      <c r="N76" s="28" t="str">
        <f>CONCATENATE(SUM($G$6:$G76)," / ",SUM($G$6:$G$370))</f>
        <v>0 / 2244,5</v>
      </c>
      <c r="O76" s="24"/>
      <c r="P76" s="224">
        <v>0</v>
      </c>
      <c r="Q76" s="28" t="str">
        <f>CONCATENATE(SUMIF($C$6:$C76,C76,$P$6:$P$370)," / ",SUMIF($C$6:$C$370,C76,$P$6:$P$370))</f>
        <v>0 / 0</v>
      </c>
      <c r="R76" s="28" t="str">
        <f>CONCATENATE(SUMIF($D$6:$D76,$D76,$P$6:$P$370)," / ",SUMIF($D$6:$D$370,$D76,$P$6:$P$370))</f>
        <v>0 / 0</v>
      </c>
      <c r="S76" s="28" t="str">
        <f>CONCATENATE(SUM($P$6:$P76)," / ",SUM($P$6:$P$370))</f>
        <v>0 / 30850</v>
      </c>
    </row>
    <row r="77" spans="2:19" ht="13" thickBot="1">
      <c r="B77" s="238">
        <f t="shared" si="6"/>
        <v>42111</v>
      </c>
      <c r="C77" s="124">
        <f t="shared" si="5"/>
        <v>16</v>
      </c>
      <c r="D77" s="124">
        <f t="shared" si="4"/>
        <v>4</v>
      </c>
      <c r="E77" s="28">
        <v>0</v>
      </c>
      <c r="F77" s="192"/>
      <c r="G77" s="124"/>
      <c r="H77" s="28" t="str">
        <f>CONCATENATE(SUMIF($C$6:$C77,C77,$E$6:$E$370)," / ",SUMIF($C$6:$C$370,C77,$E$6:$E$370))</f>
        <v>69 / 69</v>
      </c>
      <c r="I77" s="28" t="str">
        <f>CONCATENATE(SUMIF($D$6:$D77,D77,$E$6:$E$370)," / ",SUMIF($D$6:$D$370,D77,$E$6:$E$370))</f>
        <v>159 / 254</v>
      </c>
      <c r="J77" s="28" t="str">
        <f>CONCATENATE(SUM($E$6:$E77)," / ",SUM($E$6:$E$370))</f>
        <v>591 / 2271</v>
      </c>
      <c r="K77" s="24"/>
      <c r="L77" s="28" t="str">
        <f>CONCATENATE(SUMIF($C$6:$C77,C77,$G$6:$G$370)," / ",SUMIF($C$6:$C$370,C77,$G$6:$G$370))</f>
        <v>0 / 0</v>
      </c>
      <c r="M77" s="28" t="str">
        <f>CONCATENATE(SUMIF($D$6:$D77,D77,$G$6:$G$370)," / ",SUMIF($D$6:$D$370,D77,$G$6:$G$370))</f>
        <v>0 / 0</v>
      </c>
      <c r="N77" s="28" t="str">
        <f>CONCATENATE(SUM($G$6:$G77)," / ",SUM($G$6:$G$370))</f>
        <v>0 / 2244,5</v>
      </c>
      <c r="O77" s="24"/>
      <c r="P77" s="224">
        <v>0</v>
      </c>
      <c r="Q77" s="28" t="str">
        <f>CONCATENATE(SUMIF($C$6:$C77,C77,$P$6:$P$370)," / ",SUMIF($C$6:$C$370,C77,$P$6:$P$370))</f>
        <v>0 / 0</v>
      </c>
      <c r="R77" s="28" t="str">
        <f>CONCATENATE(SUMIF($D$6:$D77,$D77,$P$6:$P$370)," / ",SUMIF($D$6:$D$370,$D77,$P$6:$P$370))</f>
        <v>0 / 0</v>
      </c>
      <c r="S77" s="28" t="str">
        <f>CONCATENATE(SUM($P$6:$P77)," / ",SUM($P$6:$P$370))</f>
        <v>0 / 30850</v>
      </c>
    </row>
    <row r="78" spans="2:19" ht="13" thickBot="1">
      <c r="B78" s="238">
        <f t="shared" si="6"/>
        <v>42112</v>
      </c>
      <c r="C78" s="124">
        <f t="shared" si="5"/>
        <v>16</v>
      </c>
      <c r="D78" s="124">
        <f t="shared" si="4"/>
        <v>4</v>
      </c>
      <c r="E78" s="28">
        <v>0</v>
      </c>
      <c r="F78" s="192"/>
      <c r="G78" s="124"/>
      <c r="H78" s="28" t="str">
        <f>CONCATENATE(SUMIF($C$6:$C78,C78,$E$6:$E$370)," / ",SUMIF($C$6:$C$370,C78,$E$6:$E$370))</f>
        <v>69 / 69</v>
      </c>
      <c r="I78" s="28" t="str">
        <f>CONCATENATE(SUMIF($D$6:$D78,D78,$E$6:$E$370)," / ",SUMIF($D$6:$D$370,D78,$E$6:$E$370))</f>
        <v>159 / 254</v>
      </c>
      <c r="J78" s="28" t="str">
        <f>CONCATENATE(SUM($E$6:$E78)," / ",SUM($E$6:$E$370))</f>
        <v>591 / 2271</v>
      </c>
      <c r="K78" s="24"/>
      <c r="L78" s="28" t="str">
        <f>CONCATENATE(SUMIF($C$6:$C78,C78,$G$6:$G$370)," / ",SUMIF($C$6:$C$370,C78,$G$6:$G$370))</f>
        <v>0 / 0</v>
      </c>
      <c r="M78" s="28" t="str">
        <f>CONCATENATE(SUMIF($D$6:$D78,D78,$G$6:$G$370)," / ",SUMIF($D$6:$D$370,D78,$G$6:$G$370))</f>
        <v>0 / 0</v>
      </c>
      <c r="N78" s="28" t="str">
        <f>CONCATENATE(SUM($G$6:$G78)," / ",SUM($G$6:$G$370))</f>
        <v>0 / 2244,5</v>
      </c>
      <c r="O78" s="24"/>
      <c r="P78" s="224">
        <v>0</v>
      </c>
      <c r="Q78" s="28" t="str">
        <f>CONCATENATE(SUMIF($C$6:$C78,C78,$P$6:$P$370)," / ",SUMIF($C$6:$C$370,C78,$P$6:$P$370))</f>
        <v>0 / 0</v>
      </c>
      <c r="R78" s="28" t="str">
        <f>CONCATENATE(SUMIF($D$6:$D78,$D78,$P$6:$P$370)," / ",SUMIF($D$6:$D$370,$D78,$P$6:$P$370))</f>
        <v>0 / 0</v>
      </c>
      <c r="S78" s="28" t="str">
        <f>CONCATENATE(SUM($P$6:$P78)," / ",SUM($P$6:$P$370))</f>
        <v>0 / 30850</v>
      </c>
    </row>
    <row r="79" spans="2:19" ht="13" thickBot="1">
      <c r="B79" s="238">
        <f t="shared" si="6"/>
        <v>42113</v>
      </c>
      <c r="C79" s="124">
        <f t="shared" si="5"/>
        <v>17</v>
      </c>
      <c r="D79" s="124">
        <f t="shared" si="4"/>
        <v>4</v>
      </c>
      <c r="E79" s="28">
        <v>0</v>
      </c>
      <c r="F79" s="192"/>
      <c r="G79" s="124"/>
      <c r="H79" s="28" t="str">
        <f>CONCATENATE(SUMIF($C$6:$C79,C79,$E$6:$E$370)," / ",SUMIF($C$6:$C$370,C79,$E$6:$E$370))</f>
        <v>0 / 25</v>
      </c>
      <c r="I79" s="28" t="str">
        <f>CONCATENATE(SUMIF($D$6:$D79,D79,$E$6:$E$370)," / ",SUMIF($D$6:$D$370,D79,$E$6:$E$370))</f>
        <v>159 / 254</v>
      </c>
      <c r="J79" s="28" t="str">
        <f>CONCATENATE(SUM($E$6:$E79)," / ",SUM($E$6:$E$370))</f>
        <v>591 / 2271</v>
      </c>
      <c r="K79" s="24"/>
      <c r="L79" s="28" t="str">
        <f>CONCATENATE(SUMIF($C$6:$C79,C79,$G$6:$G$370)," / ",SUMIF($C$6:$C$370,C79,$G$6:$G$370))</f>
        <v>0 / 0</v>
      </c>
      <c r="M79" s="28" t="str">
        <f>CONCATENATE(SUMIF($D$6:$D79,D79,$G$6:$G$370)," / ",SUMIF($D$6:$D$370,D79,$G$6:$G$370))</f>
        <v>0 / 0</v>
      </c>
      <c r="N79" s="28" t="str">
        <f>CONCATENATE(SUM($G$6:$G79)," / ",SUM($G$6:$G$370))</f>
        <v>0 / 2244,5</v>
      </c>
      <c r="O79" s="24"/>
      <c r="P79" s="224">
        <v>0</v>
      </c>
      <c r="Q79" s="28" t="str">
        <f>CONCATENATE(SUMIF($C$6:$C79,C79,$P$6:$P$370)," / ",SUMIF($C$6:$C$370,C79,$P$6:$P$370))</f>
        <v>0 / 0</v>
      </c>
      <c r="R79" s="28" t="str">
        <f>CONCATENATE(SUMIF($D$6:$D79,$D79,$P$6:$P$370)," / ",SUMIF($D$6:$D$370,$D79,$P$6:$P$370))</f>
        <v>0 / 0</v>
      </c>
      <c r="S79" s="28" t="str">
        <f>CONCATENATE(SUM($P$6:$P79)," / ",SUM($P$6:$P$370))</f>
        <v>0 / 30850</v>
      </c>
    </row>
    <row r="80" spans="2:19" ht="13" thickBot="1">
      <c r="B80" s="238">
        <f t="shared" si="6"/>
        <v>42114</v>
      </c>
      <c r="C80" s="124">
        <f t="shared" si="5"/>
        <v>17</v>
      </c>
      <c r="D80" s="124">
        <f t="shared" si="4"/>
        <v>4</v>
      </c>
      <c r="E80" s="28">
        <v>0</v>
      </c>
      <c r="F80" s="192"/>
      <c r="G80" s="124"/>
      <c r="H80" s="28" t="str">
        <f>CONCATENATE(SUMIF($C$6:$C80,C80,$E$6:$E$370)," / ",SUMIF($C$6:$C$370,C80,$E$6:$E$370))</f>
        <v>0 / 25</v>
      </c>
      <c r="I80" s="28" t="str">
        <f>CONCATENATE(SUMIF($D$6:$D80,D80,$E$6:$E$370)," / ",SUMIF($D$6:$D$370,D80,$E$6:$E$370))</f>
        <v>159 / 254</v>
      </c>
      <c r="J80" s="28" t="str">
        <f>CONCATENATE(SUM($E$6:$E80)," / ",SUM($E$6:$E$370))</f>
        <v>591 / 2271</v>
      </c>
      <c r="K80" s="24"/>
      <c r="L80" s="28" t="str">
        <f>CONCATENATE(SUMIF($C$6:$C80,C80,$G$6:$G$370)," / ",SUMIF($C$6:$C$370,C80,$G$6:$G$370))</f>
        <v>0 / 0</v>
      </c>
      <c r="M80" s="28" t="str">
        <f>CONCATENATE(SUMIF($D$6:$D80,D80,$G$6:$G$370)," / ",SUMIF($D$6:$D$370,D80,$G$6:$G$370))</f>
        <v>0 / 0</v>
      </c>
      <c r="N80" s="28" t="str">
        <f>CONCATENATE(SUM($G$6:$G80)," / ",SUM($G$6:$G$370))</f>
        <v>0 / 2244,5</v>
      </c>
      <c r="O80" s="24"/>
      <c r="P80" s="224">
        <v>0</v>
      </c>
      <c r="Q80" s="28" t="str">
        <f>CONCATENATE(SUMIF($C$6:$C80,C80,$P$6:$P$370)," / ",SUMIF($C$6:$C$370,C80,$P$6:$P$370))</f>
        <v>0 / 0</v>
      </c>
      <c r="R80" s="28" t="str">
        <f>CONCATENATE(SUMIF($D$6:$D80,$D80,$P$6:$P$370)," / ",SUMIF($D$6:$D$370,$D80,$P$6:$P$370))</f>
        <v>0 / 0</v>
      </c>
      <c r="S80" s="28" t="str">
        <f>CONCATENATE(SUM($P$6:$P80)," / ",SUM($P$6:$P$370))</f>
        <v>0 / 30850</v>
      </c>
    </row>
    <row r="81" spans="2:19" ht="13" thickBot="1">
      <c r="B81" s="238">
        <f t="shared" si="6"/>
        <v>42115</v>
      </c>
      <c r="C81" s="124">
        <f t="shared" si="5"/>
        <v>17</v>
      </c>
      <c r="D81" s="124">
        <f t="shared" si="4"/>
        <v>4</v>
      </c>
      <c r="E81" s="28">
        <v>10</v>
      </c>
      <c r="F81" s="27" t="s">
        <v>440</v>
      </c>
      <c r="G81" s="124"/>
      <c r="H81" s="28" t="str">
        <f>CONCATENATE(SUMIF($C$6:$C81,C81,$E$6:$E$370)," / ",SUMIF($C$6:$C$370,C81,$E$6:$E$370))</f>
        <v>10 / 25</v>
      </c>
      <c r="I81" s="28" t="str">
        <f>CONCATENATE(SUMIF($D$6:$D81,D81,$E$6:$E$370)," / ",SUMIF($D$6:$D$370,D81,$E$6:$E$370))</f>
        <v>169 / 254</v>
      </c>
      <c r="J81" s="28" t="str">
        <f>CONCATENATE(SUM($E$6:$E81)," / ",SUM($E$6:$E$370))</f>
        <v>601 / 2271</v>
      </c>
      <c r="K81" s="24" t="s">
        <v>380</v>
      </c>
      <c r="L81" s="28" t="str">
        <f>CONCATENATE(SUMIF($C$6:$C81,C81,$G$6:$G$370)," / ",SUMIF($C$6:$C$370,C81,$G$6:$G$370))</f>
        <v>0 / 0</v>
      </c>
      <c r="M81" s="28" t="str">
        <f>CONCATENATE(SUMIF($D$6:$D81,D81,$G$6:$G$370)," / ",SUMIF($D$6:$D$370,D81,$G$6:$G$370))</f>
        <v>0 / 0</v>
      </c>
      <c r="N81" s="28" t="str">
        <f>CONCATENATE(SUM($G$6:$G81)," / ",SUM($G$6:$G$370))</f>
        <v>0 / 2244,5</v>
      </c>
      <c r="O81" s="24"/>
      <c r="P81" s="224">
        <v>0</v>
      </c>
      <c r="Q81" s="28" t="str">
        <f>CONCATENATE(SUMIF($C$6:$C81,C81,$P$6:$P$370)," / ",SUMIF($C$6:$C$370,C81,$P$6:$P$370))</f>
        <v>0 / 0</v>
      </c>
      <c r="R81" s="28" t="str">
        <f>CONCATENATE(SUMIF($D$6:$D81,$D81,$P$6:$P$370)," / ",SUMIF($D$6:$D$370,$D81,$P$6:$P$370))</f>
        <v>0 / 0</v>
      </c>
      <c r="S81" s="28" t="str">
        <f>CONCATENATE(SUM($P$6:$P81)," / ",SUM($P$6:$P$370))</f>
        <v>0 / 30850</v>
      </c>
    </row>
    <row r="82" spans="2:19" ht="13" thickBot="1">
      <c r="B82" s="238">
        <f t="shared" si="6"/>
        <v>42116</v>
      </c>
      <c r="C82" s="124">
        <f t="shared" si="5"/>
        <v>17</v>
      </c>
      <c r="D82" s="124">
        <f t="shared" si="4"/>
        <v>4</v>
      </c>
      <c r="E82" s="28">
        <v>0</v>
      </c>
      <c r="F82" s="192"/>
      <c r="G82" s="124"/>
      <c r="H82" s="28" t="str">
        <f>CONCATENATE(SUMIF($C$6:$C82,C82,$E$6:$E$370)," / ",SUMIF($C$6:$C$370,C82,$E$6:$E$370))</f>
        <v>10 / 25</v>
      </c>
      <c r="I82" s="28" t="str">
        <f>CONCATENATE(SUMIF($D$6:$D82,D82,$E$6:$E$370)," / ",SUMIF($D$6:$D$370,D82,$E$6:$E$370))</f>
        <v>169 / 254</v>
      </c>
      <c r="J82" s="28" t="str">
        <f>CONCATENATE(SUM($E$6:$E82)," / ",SUM($E$6:$E$370))</f>
        <v>601 / 2271</v>
      </c>
      <c r="K82" s="24"/>
      <c r="L82" s="28" t="str">
        <f>CONCATENATE(SUMIF($C$6:$C82,C82,$G$6:$G$370)," / ",SUMIF($C$6:$C$370,C82,$G$6:$G$370))</f>
        <v>0 / 0</v>
      </c>
      <c r="M82" s="28" t="str">
        <f>CONCATENATE(SUMIF($D$6:$D82,D82,$G$6:$G$370)," / ",SUMIF($D$6:$D$370,D82,$G$6:$G$370))</f>
        <v>0 / 0</v>
      </c>
      <c r="N82" s="28" t="str">
        <f>CONCATENATE(SUM($G$6:$G82)," / ",SUM($G$6:$G$370))</f>
        <v>0 / 2244,5</v>
      </c>
      <c r="O82" s="24"/>
      <c r="P82" s="224">
        <v>0</v>
      </c>
      <c r="Q82" s="28" t="str">
        <f>CONCATENATE(SUMIF($C$6:$C82,C82,$P$6:$P$370)," / ",SUMIF($C$6:$C$370,C82,$P$6:$P$370))</f>
        <v>0 / 0</v>
      </c>
      <c r="R82" s="28" t="str">
        <f>CONCATENATE(SUMIF($D$6:$D82,$D82,$P$6:$P$370)," / ",SUMIF($D$6:$D$370,$D82,$P$6:$P$370))</f>
        <v>0 / 0</v>
      </c>
      <c r="S82" s="28" t="str">
        <f>CONCATENATE(SUM($P$6:$P82)," / ",SUM($P$6:$P$370))</f>
        <v>0 / 30850</v>
      </c>
    </row>
    <row r="83" spans="2:19" ht="13" thickBot="1">
      <c r="B83" s="238">
        <f t="shared" si="6"/>
        <v>42117</v>
      </c>
      <c r="C83" s="124">
        <f t="shared" si="5"/>
        <v>17</v>
      </c>
      <c r="D83" s="124">
        <f t="shared" si="4"/>
        <v>4</v>
      </c>
      <c r="E83" s="28">
        <v>0</v>
      </c>
      <c r="F83" s="192"/>
      <c r="G83" s="124"/>
      <c r="H83" s="28" t="str">
        <f>CONCATENATE(SUMIF($C$6:$C83,C83,$E$6:$E$370)," / ",SUMIF($C$6:$C$370,C83,$E$6:$E$370))</f>
        <v>10 / 25</v>
      </c>
      <c r="I83" s="28" t="str">
        <f>CONCATENATE(SUMIF($D$6:$D83,D83,$E$6:$E$370)," / ",SUMIF($D$6:$D$370,D83,$E$6:$E$370))</f>
        <v>169 / 254</v>
      </c>
      <c r="J83" s="28" t="str">
        <f>CONCATENATE(SUM($E$6:$E83)," / ",SUM($E$6:$E$370))</f>
        <v>601 / 2271</v>
      </c>
      <c r="K83" s="24"/>
      <c r="L83" s="28" t="str">
        <f>CONCATENATE(SUMIF($C$6:$C83,C83,$G$6:$G$370)," / ",SUMIF($C$6:$C$370,C83,$G$6:$G$370))</f>
        <v>0 / 0</v>
      </c>
      <c r="M83" s="28" t="str">
        <f>CONCATENATE(SUMIF($D$6:$D83,D83,$G$6:$G$370)," / ",SUMIF($D$6:$D$370,D83,$G$6:$G$370))</f>
        <v>0 / 0</v>
      </c>
      <c r="N83" s="28" t="str">
        <f>CONCATENATE(SUM($G$6:$G83)," / ",SUM($G$6:$G$370))</f>
        <v>0 / 2244,5</v>
      </c>
      <c r="O83" s="24"/>
      <c r="P83" s="224">
        <v>0</v>
      </c>
      <c r="Q83" s="28" t="str">
        <f>CONCATENATE(SUMIF($C$6:$C83,C83,$P$6:$P$370)," / ",SUMIF($C$6:$C$370,C83,$P$6:$P$370))</f>
        <v>0 / 0</v>
      </c>
      <c r="R83" s="28" t="str">
        <f>CONCATENATE(SUMIF($D$6:$D83,$D83,$P$6:$P$370)," / ",SUMIF($D$6:$D$370,$D83,$P$6:$P$370))</f>
        <v>0 / 0</v>
      </c>
      <c r="S83" s="28" t="str">
        <f>CONCATENATE(SUM($P$6:$P83)," / ",SUM($P$6:$P$370))</f>
        <v>0 / 30850</v>
      </c>
    </row>
    <row r="84" spans="2:19" ht="13" thickBot="1">
      <c r="B84" s="238">
        <f t="shared" si="6"/>
        <v>42118</v>
      </c>
      <c r="C84" s="124">
        <f t="shared" si="5"/>
        <v>17</v>
      </c>
      <c r="D84" s="124">
        <f t="shared" si="4"/>
        <v>4</v>
      </c>
      <c r="E84" s="28">
        <v>15</v>
      </c>
      <c r="F84" s="27" t="s">
        <v>439</v>
      </c>
      <c r="G84" s="124"/>
      <c r="H84" s="28" t="str">
        <f>CONCATENATE(SUMIF($C$6:$C84,C84,$E$6:$E$370)," / ",SUMIF($C$6:$C$370,C84,$E$6:$E$370))</f>
        <v>25 / 25</v>
      </c>
      <c r="I84" s="28" t="str">
        <f>CONCATENATE(SUMIF($D$6:$D84,D84,$E$6:$E$370)," / ",SUMIF($D$6:$D$370,D84,$E$6:$E$370))</f>
        <v>184 / 254</v>
      </c>
      <c r="J84" s="28" t="str">
        <f>CONCATENATE(SUM($E$6:$E84)," / ",SUM($E$6:$E$370))</f>
        <v>616 / 2271</v>
      </c>
      <c r="K84" s="24" t="s">
        <v>427</v>
      </c>
      <c r="L84" s="28" t="str">
        <f>CONCATENATE(SUMIF($C$6:$C84,C84,$G$6:$G$370)," / ",SUMIF($C$6:$C$370,C84,$G$6:$G$370))</f>
        <v>0 / 0</v>
      </c>
      <c r="M84" s="28" t="str">
        <f>CONCATENATE(SUMIF($D$6:$D84,D84,$G$6:$G$370)," / ",SUMIF($D$6:$D$370,D84,$G$6:$G$370))</f>
        <v>0 / 0</v>
      </c>
      <c r="N84" s="28" t="str">
        <f>CONCATENATE(SUM($G$6:$G84)," / ",SUM($G$6:$G$370))</f>
        <v>0 / 2244,5</v>
      </c>
      <c r="O84" s="24"/>
      <c r="P84" s="224">
        <v>0</v>
      </c>
      <c r="Q84" s="28" t="str">
        <f>CONCATENATE(SUMIF($C$6:$C84,C84,$P$6:$P$370)," / ",SUMIF($C$6:$C$370,C84,$P$6:$P$370))</f>
        <v>0 / 0</v>
      </c>
      <c r="R84" s="28" t="str">
        <f>CONCATENATE(SUMIF($D$6:$D84,$D84,$P$6:$P$370)," / ",SUMIF($D$6:$D$370,$D84,$P$6:$P$370))</f>
        <v>0 / 0</v>
      </c>
      <c r="S84" s="28" t="str">
        <f>CONCATENATE(SUM($P$6:$P84)," / ",SUM($P$6:$P$370))</f>
        <v>0 / 30850</v>
      </c>
    </row>
    <row r="85" spans="2:19" ht="13" thickBot="1">
      <c r="B85" s="238">
        <f t="shared" si="6"/>
        <v>42119</v>
      </c>
      <c r="C85" s="124">
        <f t="shared" si="5"/>
        <v>17</v>
      </c>
      <c r="D85" s="124">
        <f t="shared" si="4"/>
        <v>4</v>
      </c>
      <c r="E85" s="28">
        <v>0</v>
      </c>
      <c r="F85" s="192"/>
      <c r="G85" s="124"/>
      <c r="H85" s="28" t="str">
        <f>CONCATENATE(SUMIF($C$6:$C85,C85,$E$6:$E$370)," / ",SUMIF($C$6:$C$370,C85,$E$6:$E$370))</f>
        <v>25 / 25</v>
      </c>
      <c r="I85" s="28" t="str">
        <f>CONCATENATE(SUMIF($D$6:$D85,D85,$E$6:$E$370)," / ",SUMIF($D$6:$D$370,D85,$E$6:$E$370))</f>
        <v>184 / 254</v>
      </c>
      <c r="J85" s="28" t="str">
        <f>CONCATENATE(SUM($E$6:$E85)," / ",SUM($E$6:$E$370))</f>
        <v>616 / 2271</v>
      </c>
      <c r="K85" s="24"/>
      <c r="L85" s="28" t="str">
        <f>CONCATENATE(SUMIF($C$6:$C85,C85,$G$6:$G$370)," / ",SUMIF($C$6:$C$370,C85,$G$6:$G$370))</f>
        <v>0 / 0</v>
      </c>
      <c r="M85" s="28" t="str">
        <f>CONCATENATE(SUMIF($D$6:$D85,D85,$G$6:$G$370)," / ",SUMIF($D$6:$D$370,D85,$G$6:$G$370))</f>
        <v>0 / 0</v>
      </c>
      <c r="N85" s="28" t="str">
        <f>CONCATENATE(SUM($G$6:$G85)," / ",SUM($G$6:$G$370))</f>
        <v>0 / 2244,5</v>
      </c>
      <c r="O85" s="24"/>
      <c r="P85" s="224">
        <v>0</v>
      </c>
      <c r="Q85" s="28" t="str">
        <f>CONCATENATE(SUMIF($C$6:$C85,C85,$P$6:$P$370)," / ",SUMIF($C$6:$C$370,C85,$P$6:$P$370))</f>
        <v>0 / 0</v>
      </c>
      <c r="R85" s="28" t="str">
        <f>CONCATENATE(SUMIF($D$6:$D85,$D85,$P$6:$P$370)," / ",SUMIF($D$6:$D$370,$D85,$P$6:$P$370))</f>
        <v>0 / 0</v>
      </c>
      <c r="S85" s="28" t="str">
        <f>CONCATENATE(SUM($P$6:$P85)," / ",SUM($P$6:$P$370))</f>
        <v>0 / 30850</v>
      </c>
    </row>
    <row r="86" spans="2:19" ht="13" thickBot="1">
      <c r="B86" s="238">
        <f t="shared" si="6"/>
        <v>42120</v>
      </c>
      <c r="C86" s="124">
        <f t="shared" si="5"/>
        <v>18</v>
      </c>
      <c r="D86" s="124">
        <f t="shared" si="4"/>
        <v>4</v>
      </c>
      <c r="E86" s="28">
        <v>10</v>
      </c>
      <c r="F86" s="27" t="s">
        <v>441</v>
      </c>
      <c r="G86" s="124"/>
      <c r="H86" s="28" t="str">
        <f>CONCATENATE(SUMIF($C$6:$C86,C86,$E$6:$E$370)," / ",SUMIF($C$6:$C$370,C86,$E$6:$E$370))</f>
        <v>10 / 78</v>
      </c>
      <c r="I86" s="28" t="str">
        <f>CONCATENATE(SUMIF($D$6:$D86,D86,$E$6:$E$370)," / ",SUMIF($D$6:$D$370,D86,$E$6:$E$370))</f>
        <v>194 / 254</v>
      </c>
      <c r="J86" s="28" t="str">
        <f>CONCATENATE(SUM($E$6:$E86)," / ",SUM($E$6:$E$370))</f>
        <v>626 / 2271</v>
      </c>
      <c r="K86" s="24" t="s">
        <v>380</v>
      </c>
      <c r="L86" s="28" t="str">
        <f>CONCATENATE(SUMIF($C$6:$C86,C86,$G$6:$G$370)," / ",SUMIF($C$6:$C$370,C86,$G$6:$G$370))</f>
        <v>0 / 0</v>
      </c>
      <c r="M86" s="28" t="str">
        <f>CONCATENATE(SUMIF($D$6:$D86,D86,$G$6:$G$370)," / ",SUMIF($D$6:$D$370,D86,$G$6:$G$370))</f>
        <v>0 / 0</v>
      </c>
      <c r="N86" s="28" t="str">
        <f>CONCATENATE(SUM($G$6:$G86)," / ",SUM($G$6:$G$370))</f>
        <v>0 / 2244,5</v>
      </c>
      <c r="O86" s="24"/>
      <c r="P86" s="224">
        <v>0</v>
      </c>
      <c r="Q86" s="28" t="str">
        <f>CONCATENATE(SUMIF($C$6:$C86,C86,$P$6:$P$370)," / ",SUMIF($C$6:$C$370,C86,$P$6:$P$370))</f>
        <v>0 / 0</v>
      </c>
      <c r="R86" s="28" t="str">
        <f>CONCATENATE(SUMIF($D$6:$D86,$D86,$P$6:$P$370)," / ",SUMIF($D$6:$D$370,$D86,$P$6:$P$370))</f>
        <v>0 / 0</v>
      </c>
      <c r="S86" s="28" t="str">
        <f>CONCATENATE(SUM($P$6:$P86)," / ",SUM($P$6:$P$370))</f>
        <v>0 / 30850</v>
      </c>
    </row>
    <row r="87" spans="2:19" ht="13" thickBot="1">
      <c r="B87" s="238">
        <f t="shared" si="6"/>
        <v>42121</v>
      </c>
      <c r="C87" s="124">
        <f t="shared" si="5"/>
        <v>18</v>
      </c>
      <c r="D87" s="124">
        <f t="shared" si="4"/>
        <v>4</v>
      </c>
      <c r="E87" s="28">
        <v>0</v>
      </c>
      <c r="F87" s="192"/>
      <c r="G87" s="124"/>
      <c r="H87" s="28" t="str">
        <f>CONCATENATE(SUMIF($C$6:$C87,C87,$E$6:$E$370)," / ",SUMIF($C$6:$C$370,C87,$E$6:$E$370))</f>
        <v>10 / 78</v>
      </c>
      <c r="I87" s="28" t="str">
        <f>CONCATENATE(SUMIF($D$6:$D87,D87,$E$6:$E$370)," / ",SUMIF($D$6:$D$370,D87,$E$6:$E$370))</f>
        <v>194 / 254</v>
      </c>
      <c r="J87" s="28" t="str">
        <f>CONCATENATE(SUM($E$6:$E87)," / ",SUM($E$6:$E$370))</f>
        <v>626 / 2271</v>
      </c>
      <c r="K87" s="24"/>
      <c r="L87" s="28" t="str">
        <f>CONCATENATE(SUMIF($C$6:$C87,C87,$G$6:$G$370)," / ",SUMIF($C$6:$C$370,C87,$G$6:$G$370))</f>
        <v>0 / 0</v>
      </c>
      <c r="M87" s="28" t="str">
        <f>CONCATENATE(SUMIF($D$6:$D87,D87,$G$6:$G$370)," / ",SUMIF($D$6:$D$370,D87,$G$6:$G$370))</f>
        <v>0 / 0</v>
      </c>
      <c r="N87" s="28" t="str">
        <f>CONCATENATE(SUM($G$6:$G87)," / ",SUM($G$6:$G$370))</f>
        <v>0 / 2244,5</v>
      </c>
      <c r="O87" s="24"/>
      <c r="P87" s="224">
        <v>0</v>
      </c>
      <c r="Q87" s="28" t="str">
        <f>CONCATENATE(SUMIF($C$6:$C87,C87,$P$6:$P$370)," / ",SUMIF($C$6:$C$370,C87,$P$6:$P$370))</f>
        <v>0 / 0</v>
      </c>
      <c r="R87" s="28" t="str">
        <f>CONCATENATE(SUMIF($D$6:$D87,$D87,$P$6:$P$370)," / ",SUMIF($D$6:$D$370,$D87,$P$6:$P$370))</f>
        <v>0 / 0</v>
      </c>
      <c r="S87" s="28" t="str">
        <f>CONCATENATE(SUM($P$6:$P87)," / ",SUM($P$6:$P$370))</f>
        <v>0 / 30850</v>
      </c>
    </row>
    <row r="88" spans="2:19" ht="13" thickBot="1">
      <c r="B88" s="238">
        <f t="shared" si="6"/>
        <v>42122</v>
      </c>
      <c r="C88" s="124">
        <f t="shared" si="5"/>
        <v>18</v>
      </c>
      <c r="D88" s="124">
        <f t="shared" si="4"/>
        <v>4</v>
      </c>
      <c r="E88" s="28">
        <v>16</v>
      </c>
      <c r="F88" s="27" t="s">
        <v>443</v>
      </c>
      <c r="G88" s="124"/>
      <c r="H88" s="28" t="str">
        <f>CONCATENATE(SUMIF($C$6:$C88,C88,$E$6:$E$370)," / ",SUMIF($C$6:$C$370,C88,$E$6:$E$370))</f>
        <v>26 / 78</v>
      </c>
      <c r="I88" s="28" t="str">
        <f>CONCATENATE(SUMIF($D$6:$D88,D88,$E$6:$E$370)," / ",SUMIF($D$6:$D$370,D88,$E$6:$E$370))</f>
        <v>210 / 254</v>
      </c>
      <c r="J88" s="28" t="str">
        <f>CONCATENATE(SUM($E$6:$E88)," / ",SUM($E$6:$E$370))</f>
        <v>642 / 2271</v>
      </c>
      <c r="K88" s="24" t="s">
        <v>427</v>
      </c>
      <c r="L88" s="28" t="str">
        <f>CONCATENATE(SUMIF($C$6:$C88,C88,$G$6:$G$370)," / ",SUMIF($C$6:$C$370,C88,$G$6:$G$370))</f>
        <v>0 / 0</v>
      </c>
      <c r="M88" s="28" t="str">
        <f>CONCATENATE(SUMIF($D$6:$D88,D88,$G$6:$G$370)," / ",SUMIF($D$6:$D$370,D88,$G$6:$G$370))</f>
        <v>0 / 0</v>
      </c>
      <c r="N88" s="28" t="str">
        <f>CONCATENATE(SUM($G$6:$G88)," / ",SUM($G$6:$G$370))</f>
        <v>0 / 2244,5</v>
      </c>
      <c r="O88" s="24"/>
      <c r="P88" s="224">
        <v>0</v>
      </c>
      <c r="Q88" s="28" t="str">
        <f>CONCATENATE(SUMIF($C$6:$C88,C88,$P$6:$P$370)," / ",SUMIF($C$6:$C$370,C88,$P$6:$P$370))</f>
        <v>0 / 0</v>
      </c>
      <c r="R88" s="28" t="str">
        <f>CONCATENATE(SUMIF($D$6:$D88,$D88,$P$6:$P$370)," / ",SUMIF($D$6:$D$370,$D88,$P$6:$P$370))</f>
        <v>0 / 0</v>
      </c>
      <c r="S88" s="28" t="str">
        <f>CONCATENATE(SUM($P$6:$P88)," / ",SUM($P$6:$P$370))</f>
        <v>0 / 30850</v>
      </c>
    </row>
    <row r="89" spans="2:19" ht="13" thickBot="1">
      <c r="B89" s="238">
        <f t="shared" si="6"/>
        <v>42123</v>
      </c>
      <c r="C89" s="124">
        <f t="shared" si="5"/>
        <v>18</v>
      </c>
      <c r="D89" s="124">
        <f t="shared" si="4"/>
        <v>4</v>
      </c>
      <c r="E89" s="28">
        <v>20</v>
      </c>
      <c r="F89" s="27" t="s">
        <v>442</v>
      </c>
      <c r="G89" s="124"/>
      <c r="H89" s="28" t="str">
        <f>CONCATENATE(SUMIF($C$6:$C89,C89,$E$6:$E$370)," / ",SUMIF($C$6:$C$370,C89,$E$6:$E$370))</f>
        <v>46 / 78</v>
      </c>
      <c r="I89" s="28" t="str">
        <f>CONCATENATE(SUMIF($D$6:$D89,D89,$E$6:$E$370)," / ",SUMIF($D$6:$D$370,D89,$E$6:$E$370))</f>
        <v>230 / 254</v>
      </c>
      <c r="J89" s="28" t="str">
        <f>CONCATENATE(SUM($E$6:$E89)," / ",SUM($E$6:$E$370))</f>
        <v>662 / 2271</v>
      </c>
      <c r="K89" s="24" t="s">
        <v>427</v>
      </c>
      <c r="L89" s="28" t="str">
        <f>CONCATENATE(SUMIF($C$6:$C89,C89,$G$6:$G$370)," / ",SUMIF($C$6:$C$370,C89,$G$6:$G$370))</f>
        <v>0 / 0</v>
      </c>
      <c r="M89" s="28" t="str">
        <f>CONCATENATE(SUMIF($D$6:$D89,D89,$G$6:$G$370)," / ",SUMIF($D$6:$D$370,D89,$G$6:$G$370))</f>
        <v>0 / 0</v>
      </c>
      <c r="N89" s="28" t="str">
        <f>CONCATENATE(SUM($G$6:$G89)," / ",SUM($G$6:$G$370))</f>
        <v>0 / 2244,5</v>
      </c>
      <c r="O89" s="24"/>
      <c r="P89" s="224">
        <v>0</v>
      </c>
      <c r="Q89" s="28" t="str">
        <f>CONCATENATE(SUMIF($C$6:$C89,C89,$P$6:$P$370)," / ",SUMIF($C$6:$C$370,C89,$P$6:$P$370))</f>
        <v>0 / 0</v>
      </c>
      <c r="R89" s="28" t="str">
        <f>CONCATENATE(SUMIF($D$6:$D89,$D89,$P$6:$P$370)," / ",SUMIF($D$6:$D$370,$D89,$P$6:$P$370))</f>
        <v>0 / 0</v>
      </c>
      <c r="S89" s="28" t="str">
        <f>CONCATENATE(SUM($P$6:$P89)," / ",SUM($P$6:$P$370))</f>
        <v>0 / 30850</v>
      </c>
    </row>
    <row r="90" spans="2:19" ht="13" thickBot="1">
      <c r="B90" s="238">
        <f t="shared" si="6"/>
        <v>42124</v>
      </c>
      <c r="C90" s="124">
        <f t="shared" si="5"/>
        <v>18</v>
      </c>
      <c r="D90" s="124">
        <f t="shared" ref="D90:D153" si="7">MONTH(B90)</f>
        <v>4</v>
      </c>
      <c r="E90" s="28">
        <v>24</v>
      </c>
      <c r="F90" s="27" t="s">
        <v>445</v>
      </c>
      <c r="G90" s="124"/>
      <c r="H90" s="28" t="str">
        <f>CONCATENATE(SUMIF($C$6:$C90,C90,$E$6:$E$370)," / ",SUMIF($C$6:$C$370,C90,$E$6:$E$370))</f>
        <v>70 / 78</v>
      </c>
      <c r="I90" s="28" t="str">
        <f>CONCATENATE(SUMIF($D$6:$D90,D90,$E$6:$E$370)," / ",SUMIF($D$6:$D$370,D90,$E$6:$E$370))</f>
        <v>254 / 254</v>
      </c>
      <c r="J90" s="28" t="str">
        <f>CONCATENATE(SUM($E$6:$E90)," / ",SUM($E$6:$E$370))</f>
        <v>686 / 2271</v>
      </c>
      <c r="K90" s="24" t="s">
        <v>380</v>
      </c>
      <c r="L90" s="28" t="str">
        <f>CONCATENATE(SUMIF($C$6:$C90,C90,$G$6:$G$370)," / ",SUMIF($C$6:$C$370,C90,$G$6:$G$370))</f>
        <v>0 / 0</v>
      </c>
      <c r="M90" s="28" t="str">
        <f>CONCATENATE(SUMIF($D$6:$D90,D90,$G$6:$G$370)," / ",SUMIF($D$6:$D$370,D90,$G$6:$G$370))</f>
        <v>0 / 0</v>
      </c>
      <c r="N90" s="28" t="str">
        <f>CONCATENATE(SUM($G$6:$G90)," / ",SUM($G$6:$G$370))</f>
        <v>0 / 2244,5</v>
      </c>
      <c r="O90" s="24"/>
      <c r="P90" s="224">
        <v>0</v>
      </c>
      <c r="Q90" s="28" t="str">
        <f>CONCATENATE(SUMIF($C$6:$C90,C90,$P$6:$P$370)," / ",SUMIF($C$6:$C$370,C90,$P$6:$P$370))</f>
        <v>0 / 0</v>
      </c>
      <c r="R90" s="28" t="str">
        <f>CONCATENATE(SUMIF($D$6:$D90,$D90,$P$6:$P$370)," / ",SUMIF($D$6:$D$370,$D90,$P$6:$P$370))</f>
        <v>0 / 0</v>
      </c>
      <c r="S90" s="28" t="str">
        <f>CONCATENATE(SUM($P$6:$P90)," / ",SUM($P$6:$P$370))</f>
        <v>0 / 30850</v>
      </c>
    </row>
    <row r="91" spans="2:19" ht="13" thickBot="1">
      <c r="B91" s="238">
        <f t="shared" si="6"/>
        <v>42125</v>
      </c>
      <c r="C91" s="124">
        <f t="shared" si="5"/>
        <v>18</v>
      </c>
      <c r="D91" s="124">
        <f t="shared" si="7"/>
        <v>5</v>
      </c>
      <c r="E91" s="28">
        <v>0</v>
      </c>
      <c r="F91" s="192"/>
      <c r="G91" s="124"/>
      <c r="H91" s="28" t="str">
        <f>CONCATENATE(SUMIF($C$6:$C91,C91,$E$6:$E$370)," / ",SUMIF($C$6:$C$370,C91,$E$6:$E$370))</f>
        <v>70 / 78</v>
      </c>
      <c r="I91" s="28" t="str">
        <f>CONCATENATE(SUMIF($D$6:$D91,D91,$E$6:$E$370)," / ",SUMIF($D$6:$D$370,D91,$E$6:$E$370))</f>
        <v>0 / 213</v>
      </c>
      <c r="J91" s="28" t="str">
        <f>CONCATENATE(SUM($E$6:$E91)," / ",SUM($E$6:$E$370))</f>
        <v>686 / 2271</v>
      </c>
      <c r="K91" s="24"/>
      <c r="L91" s="28" t="str">
        <f>CONCATENATE(SUMIF($C$6:$C91,C91,$G$6:$G$370)," / ",SUMIF($C$6:$C$370,C91,$G$6:$G$370))</f>
        <v>0 / 0</v>
      </c>
      <c r="M91" s="28" t="str">
        <f>CONCATENATE(SUMIF($D$6:$D91,D91,$G$6:$G$370)," / ",SUMIF($D$6:$D$370,D91,$G$6:$G$370))</f>
        <v>0 / 100</v>
      </c>
      <c r="N91" s="28" t="str">
        <f>CONCATENATE(SUM($G$6:$G91)," / ",SUM($G$6:$G$370))</f>
        <v>0 / 2244,5</v>
      </c>
      <c r="O91" s="24"/>
      <c r="P91" s="224">
        <v>0</v>
      </c>
      <c r="Q91" s="28" t="str">
        <f>CONCATENATE(SUMIF($C$6:$C91,C91,$P$6:$P$370)," / ",SUMIF($C$6:$C$370,C91,$P$6:$P$370))</f>
        <v>0 / 0</v>
      </c>
      <c r="R91" s="28" t="str">
        <f>CONCATENATE(SUMIF($D$6:$D91,$D91,$P$6:$P$370)," / ",SUMIF($D$6:$D$370,$D91,$P$6:$P$370))</f>
        <v>0 / 0</v>
      </c>
      <c r="S91" s="28" t="str">
        <f>CONCATENATE(SUM($P$6:$P91)," / ",SUM($P$6:$P$370))</f>
        <v>0 / 30850</v>
      </c>
    </row>
    <row r="92" spans="2:19" ht="13" thickBot="1">
      <c r="B92" s="238">
        <f t="shared" si="6"/>
        <v>42126</v>
      </c>
      <c r="C92" s="124">
        <f t="shared" si="5"/>
        <v>18</v>
      </c>
      <c r="D92" s="124">
        <f t="shared" si="7"/>
        <v>5</v>
      </c>
      <c r="E92" s="28">
        <v>8</v>
      </c>
      <c r="F92" s="27" t="s">
        <v>446</v>
      </c>
      <c r="G92" s="124"/>
      <c r="H92" s="28" t="str">
        <f>CONCATENATE(SUMIF($C$6:$C92,C92,$E$6:$E$370)," / ",SUMIF($C$6:$C$370,C92,$E$6:$E$370))</f>
        <v>78 / 78</v>
      </c>
      <c r="I92" s="28" t="str">
        <f>CONCATENATE(SUMIF($D$6:$D92,D92,$E$6:$E$370)," / ",SUMIF($D$6:$D$370,D92,$E$6:$E$370))</f>
        <v>8 / 213</v>
      </c>
      <c r="J92" s="28" t="str">
        <f>CONCATENATE(SUM($E$6:$E92)," / ",SUM($E$6:$E$370))</f>
        <v>694 / 2271</v>
      </c>
      <c r="K92" s="24" t="s">
        <v>380</v>
      </c>
      <c r="L92" s="28" t="str">
        <f>CONCATENATE(SUMIF($C$6:$C92,C92,$G$6:$G$370)," / ",SUMIF($C$6:$C$370,C92,$G$6:$G$370))</f>
        <v>0 / 0</v>
      </c>
      <c r="M92" s="28" t="str">
        <f>CONCATENATE(SUMIF($D$6:$D92,D92,$G$6:$G$370)," / ",SUMIF($D$6:$D$370,D92,$G$6:$G$370))</f>
        <v>0 / 100</v>
      </c>
      <c r="N92" s="28" t="str">
        <f>CONCATENATE(SUM($G$6:$G92)," / ",SUM($G$6:$G$370))</f>
        <v>0 / 2244,5</v>
      </c>
      <c r="O92" s="24"/>
      <c r="P92" s="224">
        <v>0</v>
      </c>
      <c r="Q92" s="28" t="str">
        <f>CONCATENATE(SUMIF($C$6:$C92,C92,$P$6:$P$370)," / ",SUMIF($C$6:$C$370,C92,$P$6:$P$370))</f>
        <v>0 / 0</v>
      </c>
      <c r="R92" s="28" t="str">
        <f>CONCATENATE(SUMIF($D$6:$D92,$D92,$P$6:$P$370)," / ",SUMIF($D$6:$D$370,$D92,$P$6:$P$370))</f>
        <v>0 / 0</v>
      </c>
      <c r="S92" s="28" t="str">
        <f>CONCATENATE(SUM($P$6:$P92)," / ",SUM($P$6:$P$370))</f>
        <v>0 / 30850</v>
      </c>
    </row>
    <row r="93" spans="2:19" ht="13" thickBot="1">
      <c r="B93" s="238">
        <f t="shared" si="6"/>
        <v>42127</v>
      </c>
      <c r="C93" s="124">
        <f t="shared" si="5"/>
        <v>19</v>
      </c>
      <c r="D93" s="124">
        <f t="shared" si="7"/>
        <v>5</v>
      </c>
      <c r="E93" s="28">
        <v>24</v>
      </c>
      <c r="F93" s="27" t="s">
        <v>447</v>
      </c>
      <c r="G93" s="124"/>
      <c r="H93" s="28" t="str">
        <f>CONCATENATE(SUMIF($C$6:$C93,C93,$E$6:$E$370)," / ",SUMIF($C$6:$C$370,C93,$E$6:$E$370))</f>
        <v>24 / 107</v>
      </c>
      <c r="I93" s="28" t="str">
        <f>CONCATENATE(SUMIF($D$6:$D93,D93,$E$6:$E$370)," / ",SUMIF($D$6:$D$370,D93,$E$6:$E$370))</f>
        <v>32 / 213</v>
      </c>
      <c r="J93" s="28" t="str">
        <f>CONCATENATE(SUM($E$6:$E93)," / ",SUM($E$6:$E$370))</f>
        <v>718 / 2271</v>
      </c>
      <c r="K93" s="24" t="s">
        <v>427</v>
      </c>
      <c r="L93" s="28" t="str">
        <f>CONCATENATE(SUMIF($C$6:$C93,C93,$G$6:$G$370)," / ",SUMIF($C$6:$C$370,C93,$G$6:$G$370))</f>
        <v>0 / 30</v>
      </c>
      <c r="M93" s="28" t="str">
        <f>CONCATENATE(SUMIF($D$6:$D93,D93,$G$6:$G$370)," / ",SUMIF($D$6:$D$370,D93,$G$6:$G$370))</f>
        <v>0 / 100</v>
      </c>
      <c r="N93" s="28" t="str">
        <f>CONCATENATE(SUM($G$6:$G93)," / ",SUM($G$6:$G$370))</f>
        <v>0 / 2244,5</v>
      </c>
      <c r="O93" s="24"/>
      <c r="P93" s="224">
        <v>0</v>
      </c>
      <c r="Q93" s="28" t="str">
        <f>CONCATENATE(SUMIF($C$6:$C93,C93,$P$6:$P$370)," / ",SUMIF($C$6:$C$370,C93,$P$6:$P$370))</f>
        <v>0 / 0</v>
      </c>
      <c r="R93" s="28" t="str">
        <f>CONCATENATE(SUMIF($D$6:$D93,$D93,$P$6:$P$370)," / ",SUMIF($D$6:$D$370,$D93,$P$6:$P$370))</f>
        <v>0 / 0</v>
      </c>
      <c r="S93" s="28" t="str">
        <f>CONCATENATE(SUM($P$6:$P93)," / ",SUM($P$6:$P$370))</f>
        <v>0 / 30850</v>
      </c>
    </row>
    <row r="94" spans="2:19" ht="13" thickBot="1">
      <c r="B94" s="238">
        <f t="shared" si="6"/>
        <v>42128</v>
      </c>
      <c r="C94" s="124">
        <f t="shared" si="5"/>
        <v>19</v>
      </c>
      <c r="D94" s="124">
        <f t="shared" si="7"/>
        <v>5</v>
      </c>
      <c r="E94" s="28">
        <v>24</v>
      </c>
      <c r="F94" s="27" t="s">
        <v>457</v>
      </c>
      <c r="G94" s="124"/>
      <c r="H94" s="28" t="str">
        <f>CONCATENATE(SUMIF($C$6:$C94,C94,$E$6:$E$370)," / ",SUMIF($C$6:$C$370,C94,$E$6:$E$370))</f>
        <v>48 / 107</v>
      </c>
      <c r="I94" s="28" t="str">
        <f>CONCATENATE(SUMIF($D$6:$D94,D94,$E$6:$E$370)," / ",SUMIF($D$6:$D$370,D94,$E$6:$E$370))</f>
        <v>56 / 213</v>
      </c>
      <c r="J94" s="28" t="str">
        <f>CONCATENATE(SUM($E$6:$E94)," / ",SUM($E$6:$E$370))</f>
        <v>742 / 2271</v>
      </c>
      <c r="K94" s="24" t="s">
        <v>427</v>
      </c>
      <c r="L94" s="28" t="str">
        <f>CONCATENATE(SUMIF($C$6:$C94,C94,$G$6:$G$370)," / ",SUMIF($C$6:$C$370,C94,$G$6:$G$370))</f>
        <v>0 / 30</v>
      </c>
      <c r="M94" s="28" t="str">
        <f>CONCATENATE(SUMIF($D$6:$D94,D94,$G$6:$G$370)," / ",SUMIF($D$6:$D$370,D94,$G$6:$G$370))</f>
        <v>0 / 100</v>
      </c>
      <c r="N94" s="28" t="str">
        <f>CONCATENATE(SUM($G$6:$G94)," / ",SUM($G$6:$G$370))</f>
        <v>0 / 2244,5</v>
      </c>
      <c r="O94" s="24"/>
      <c r="P94" s="224">
        <v>0</v>
      </c>
      <c r="Q94" s="28" t="str">
        <f>CONCATENATE(SUMIF($C$6:$C94,C94,$P$6:$P$370)," / ",SUMIF($C$6:$C$370,C94,$P$6:$P$370))</f>
        <v>0 / 0</v>
      </c>
      <c r="R94" s="28" t="str">
        <f>CONCATENATE(SUMIF($D$6:$D94,$D94,$P$6:$P$370)," / ",SUMIF($D$6:$D$370,$D94,$P$6:$P$370))</f>
        <v>0 / 0</v>
      </c>
      <c r="S94" s="28" t="str">
        <f>CONCATENATE(SUM($P$6:$P94)," / ",SUM($P$6:$P$370))</f>
        <v>0 / 30850</v>
      </c>
    </row>
    <row r="95" spans="2:19" ht="13" thickBot="1">
      <c r="B95" s="238">
        <f t="shared" si="6"/>
        <v>42129</v>
      </c>
      <c r="C95" s="124">
        <f t="shared" si="5"/>
        <v>19</v>
      </c>
      <c r="D95" s="124">
        <f t="shared" si="7"/>
        <v>5</v>
      </c>
      <c r="E95" s="28">
        <v>12</v>
      </c>
      <c r="F95" s="27" t="s">
        <v>458</v>
      </c>
      <c r="G95" s="124"/>
      <c r="H95" s="28" t="str">
        <f>CONCATENATE(SUMIF($C$6:$C95,C95,$E$6:$E$370)," / ",SUMIF($C$6:$C$370,C95,$E$6:$E$370))</f>
        <v>60 / 107</v>
      </c>
      <c r="I95" s="28" t="str">
        <f>CONCATENATE(SUMIF($D$6:$D95,D95,$E$6:$E$370)," / ",SUMIF($D$6:$D$370,D95,$E$6:$E$370))</f>
        <v>68 / 213</v>
      </c>
      <c r="J95" s="28" t="str">
        <f>CONCATENATE(SUM($E$6:$E95)," / ",SUM($E$6:$E$370))</f>
        <v>754 / 2271</v>
      </c>
      <c r="K95" s="24" t="s">
        <v>380</v>
      </c>
      <c r="L95" s="28" t="str">
        <f>CONCATENATE(SUMIF($C$6:$C95,C95,$G$6:$G$370)," / ",SUMIF($C$6:$C$370,C95,$G$6:$G$370))</f>
        <v>0 / 30</v>
      </c>
      <c r="M95" s="28" t="str">
        <f>CONCATENATE(SUMIF($D$6:$D95,D95,$G$6:$G$370)," / ",SUMIF($D$6:$D$370,D95,$G$6:$G$370))</f>
        <v>0 / 100</v>
      </c>
      <c r="N95" s="28" t="str">
        <f>CONCATENATE(SUM($G$6:$G95)," / ",SUM($G$6:$G$370))</f>
        <v>0 / 2244,5</v>
      </c>
      <c r="O95" s="24"/>
      <c r="P95" s="224">
        <v>0</v>
      </c>
      <c r="Q95" s="28" t="str">
        <f>CONCATENATE(SUMIF($C$6:$C95,C95,$P$6:$P$370)," / ",SUMIF($C$6:$C$370,C95,$P$6:$P$370))</f>
        <v>0 / 0</v>
      </c>
      <c r="R95" s="28" t="str">
        <f>CONCATENATE(SUMIF($D$6:$D95,$D95,$P$6:$P$370)," / ",SUMIF($D$6:$D$370,$D95,$P$6:$P$370))</f>
        <v>0 / 0</v>
      </c>
      <c r="S95" s="28" t="str">
        <f>CONCATENATE(SUM($P$6:$P95)," / ",SUM($P$6:$P$370))</f>
        <v>0 / 30850</v>
      </c>
    </row>
    <row r="96" spans="2:19" ht="13" thickBot="1">
      <c r="B96" s="238">
        <f t="shared" si="6"/>
        <v>42130</v>
      </c>
      <c r="C96" s="124">
        <f t="shared" si="5"/>
        <v>19</v>
      </c>
      <c r="D96" s="124">
        <f t="shared" si="7"/>
        <v>5</v>
      </c>
      <c r="E96" s="28">
        <v>24</v>
      </c>
      <c r="F96" s="27" t="s">
        <v>456</v>
      </c>
      <c r="G96" s="124"/>
      <c r="H96" s="28" t="str">
        <f>CONCATENATE(SUMIF($C$6:$C96,C96,$E$6:$E$370)," / ",SUMIF($C$6:$C$370,C96,$E$6:$E$370))</f>
        <v>84 / 107</v>
      </c>
      <c r="I96" s="28" t="str">
        <f>CONCATENATE(SUMIF($D$6:$D96,D96,$E$6:$E$370)," / ",SUMIF($D$6:$D$370,D96,$E$6:$E$370))</f>
        <v>92 / 213</v>
      </c>
      <c r="J96" s="28" t="str">
        <f>CONCATENATE(SUM($E$6:$E96)," / ",SUM($E$6:$E$370))</f>
        <v>778 / 2271</v>
      </c>
      <c r="K96" s="24" t="s">
        <v>427</v>
      </c>
      <c r="L96" s="28" t="str">
        <f>CONCATENATE(SUMIF($C$6:$C96,C96,$G$6:$G$370)," / ",SUMIF($C$6:$C$370,C96,$G$6:$G$370))</f>
        <v>0 / 30</v>
      </c>
      <c r="M96" s="28" t="str">
        <f>CONCATENATE(SUMIF($D$6:$D96,D96,$G$6:$G$370)," / ",SUMIF($D$6:$D$370,D96,$G$6:$G$370))</f>
        <v>0 / 100</v>
      </c>
      <c r="N96" s="28" t="str">
        <f>CONCATENATE(SUM($G$6:$G96)," / ",SUM($G$6:$G$370))</f>
        <v>0 / 2244,5</v>
      </c>
      <c r="O96" s="24"/>
      <c r="P96" s="224">
        <v>0</v>
      </c>
      <c r="Q96" s="28" t="str">
        <f>CONCATENATE(SUMIF($C$6:$C96,C96,$P$6:$P$370)," / ",SUMIF($C$6:$C$370,C96,$P$6:$P$370))</f>
        <v>0 / 0</v>
      </c>
      <c r="R96" s="28" t="str">
        <f>CONCATENATE(SUMIF($D$6:$D96,$D96,$P$6:$P$370)," / ",SUMIF($D$6:$D$370,$D96,$P$6:$P$370))</f>
        <v>0 / 0</v>
      </c>
      <c r="S96" s="28" t="str">
        <f>CONCATENATE(SUM($P$6:$P96)," / ",SUM($P$6:$P$370))</f>
        <v>0 / 30850</v>
      </c>
    </row>
    <row r="97" spans="2:19" ht="13" thickBot="1">
      <c r="B97" s="238">
        <f t="shared" si="6"/>
        <v>42131</v>
      </c>
      <c r="C97" s="124">
        <f t="shared" si="5"/>
        <v>19</v>
      </c>
      <c r="D97" s="124">
        <f t="shared" si="7"/>
        <v>5</v>
      </c>
      <c r="E97" s="28">
        <v>0</v>
      </c>
      <c r="F97" s="192"/>
      <c r="G97" s="124"/>
      <c r="H97" s="28" t="str">
        <f>CONCATENATE(SUMIF($C$6:$C97,C97,$E$6:$E$370)," / ",SUMIF($C$6:$C$370,C97,$E$6:$E$370))</f>
        <v>84 / 107</v>
      </c>
      <c r="I97" s="28" t="str">
        <f>CONCATENATE(SUMIF($D$6:$D97,D97,$E$6:$E$370)," / ",SUMIF($D$6:$D$370,D97,$E$6:$E$370))</f>
        <v>92 / 213</v>
      </c>
      <c r="J97" s="28" t="str">
        <f>CONCATENATE(SUM($E$6:$E97)," / ",SUM($E$6:$E$370))</f>
        <v>778 / 2271</v>
      </c>
      <c r="K97" s="24"/>
      <c r="L97" s="28" t="str">
        <f>CONCATENATE(SUMIF($C$6:$C97,C97,$G$6:$G$370)," / ",SUMIF($C$6:$C$370,C97,$G$6:$G$370))</f>
        <v>0 / 30</v>
      </c>
      <c r="M97" s="28" t="str">
        <f>CONCATENATE(SUMIF($D$6:$D97,D97,$G$6:$G$370)," / ",SUMIF($D$6:$D$370,D97,$G$6:$G$370))</f>
        <v>0 / 100</v>
      </c>
      <c r="N97" s="28" t="str">
        <f>CONCATENATE(SUM($G$6:$G97)," / ",SUM($G$6:$G$370))</f>
        <v>0 / 2244,5</v>
      </c>
      <c r="O97" s="24"/>
      <c r="P97" s="224">
        <v>0</v>
      </c>
      <c r="Q97" s="28" t="str">
        <f>CONCATENATE(SUMIF($C$6:$C97,C97,$P$6:$P$370)," / ",SUMIF($C$6:$C$370,C97,$P$6:$P$370))</f>
        <v>0 / 0</v>
      </c>
      <c r="R97" s="28" t="str">
        <f>CONCATENATE(SUMIF($D$6:$D97,$D97,$P$6:$P$370)," / ",SUMIF($D$6:$D$370,$D97,$P$6:$P$370))</f>
        <v>0 / 0</v>
      </c>
      <c r="S97" s="28" t="str">
        <f>CONCATENATE(SUM($P$6:$P97)," / ",SUM($P$6:$P$370))</f>
        <v>0 / 30850</v>
      </c>
    </row>
    <row r="98" spans="2:19" ht="13" thickBot="1">
      <c r="B98" s="238">
        <f t="shared" si="6"/>
        <v>42132</v>
      </c>
      <c r="C98" s="124">
        <f t="shared" si="5"/>
        <v>19</v>
      </c>
      <c r="D98" s="124">
        <f t="shared" si="7"/>
        <v>5</v>
      </c>
      <c r="E98" s="28">
        <v>0</v>
      </c>
      <c r="F98" s="27" t="s">
        <v>459</v>
      </c>
      <c r="G98" s="124">
        <v>30</v>
      </c>
      <c r="H98" s="28" t="str">
        <f>CONCATENATE(SUMIF($C$6:$C98,C98,$E$6:$E$370)," / ",SUMIF($C$6:$C$370,C98,$E$6:$E$370))</f>
        <v>84 / 107</v>
      </c>
      <c r="I98" s="28" t="str">
        <f>CONCATENATE(SUMIF($D$6:$D98,D98,$E$6:$E$370)," / ",SUMIF($D$6:$D$370,D98,$E$6:$E$370))</f>
        <v>92 / 213</v>
      </c>
      <c r="J98" s="28" t="str">
        <f>CONCATENATE(SUM($E$6:$E98)," / ",SUM($E$6:$E$370))</f>
        <v>778 / 2271</v>
      </c>
      <c r="K98" s="24"/>
      <c r="L98" s="28" t="str">
        <f>CONCATENATE(SUMIF($C$6:$C98,C98,$G$6:$G$370)," / ",SUMIF($C$6:$C$370,C98,$G$6:$G$370))</f>
        <v>30 / 30</v>
      </c>
      <c r="M98" s="28" t="str">
        <f>CONCATENATE(SUMIF($D$6:$D98,D98,$G$6:$G$370)," / ",SUMIF($D$6:$D$370,D98,$G$6:$G$370))</f>
        <v>30 / 100</v>
      </c>
      <c r="N98" s="28" t="str">
        <f>CONCATENATE(SUM($G$6:$G98)," / ",SUM($G$6:$G$370))</f>
        <v>30 / 2244,5</v>
      </c>
      <c r="O98" s="24" t="s">
        <v>489</v>
      </c>
      <c r="P98" s="224">
        <v>0</v>
      </c>
      <c r="Q98" s="28" t="str">
        <f>CONCATENATE(SUMIF($C$6:$C98,C98,$P$6:$P$370)," / ",SUMIF($C$6:$C$370,C98,$P$6:$P$370))</f>
        <v>0 / 0</v>
      </c>
      <c r="R98" s="28" t="str">
        <f>CONCATENATE(SUMIF($D$6:$D98,$D98,$P$6:$P$370)," / ",SUMIF($D$6:$D$370,$D98,$P$6:$P$370))</f>
        <v>0 / 0</v>
      </c>
      <c r="S98" s="28" t="str">
        <f>CONCATENATE(SUM($P$6:$P98)," / ",SUM($P$6:$P$370))</f>
        <v>0 / 30850</v>
      </c>
    </row>
    <row r="99" spans="2:19" ht="13" thickBot="1">
      <c r="B99" s="238">
        <f t="shared" si="6"/>
        <v>42133</v>
      </c>
      <c r="C99" s="124">
        <f t="shared" si="5"/>
        <v>19</v>
      </c>
      <c r="D99" s="124">
        <f t="shared" si="7"/>
        <v>5</v>
      </c>
      <c r="E99" s="28">
        <v>23</v>
      </c>
      <c r="F99" s="27" t="s">
        <v>460</v>
      </c>
      <c r="G99" s="124"/>
      <c r="H99" s="28" t="str">
        <f>CONCATENATE(SUMIF($C$6:$C99,C99,$E$6:$E$370)," / ",SUMIF($C$6:$C$370,C99,$E$6:$E$370))</f>
        <v>107 / 107</v>
      </c>
      <c r="I99" s="28" t="str">
        <f>CONCATENATE(SUMIF($D$6:$D99,D99,$E$6:$E$370)," / ",SUMIF($D$6:$D$370,D99,$E$6:$E$370))</f>
        <v>115 / 213</v>
      </c>
      <c r="J99" s="28" t="str">
        <f>CONCATENATE(SUM($E$6:$E99)," / ",SUM($E$6:$E$370))</f>
        <v>801 / 2271</v>
      </c>
      <c r="K99" s="24" t="s">
        <v>427</v>
      </c>
      <c r="L99" s="28" t="str">
        <f>CONCATENATE(SUMIF($C$6:$C99,C99,$G$6:$G$370)," / ",SUMIF($C$6:$C$370,C99,$G$6:$G$370))</f>
        <v>30 / 30</v>
      </c>
      <c r="M99" s="28" t="str">
        <f>CONCATENATE(SUMIF($D$6:$D99,D99,$G$6:$G$370)," / ",SUMIF($D$6:$D$370,D99,$G$6:$G$370))</f>
        <v>30 / 100</v>
      </c>
      <c r="N99" s="28" t="str">
        <f>CONCATENATE(SUM($G$6:$G99)," / ",SUM($G$6:$G$370))</f>
        <v>30 / 2244,5</v>
      </c>
      <c r="O99" s="24"/>
      <c r="P99" s="224">
        <v>0</v>
      </c>
      <c r="Q99" s="28" t="str">
        <f>CONCATENATE(SUMIF($C$6:$C99,C99,$P$6:$P$370)," / ",SUMIF($C$6:$C$370,C99,$P$6:$P$370))</f>
        <v>0 / 0</v>
      </c>
      <c r="R99" s="28" t="str">
        <f>CONCATENATE(SUMIF($D$6:$D99,$D99,$P$6:$P$370)," / ",SUMIF($D$6:$D$370,$D99,$P$6:$P$370))</f>
        <v>0 / 0</v>
      </c>
      <c r="S99" s="28" t="str">
        <f>CONCATENATE(SUM($P$6:$P99)," / ",SUM($P$6:$P$370))</f>
        <v>0 / 30850</v>
      </c>
    </row>
    <row r="100" spans="2:19" ht="13" thickBot="1">
      <c r="B100" s="238">
        <f t="shared" si="6"/>
        <v>42134</v>
      </c>
      <c r="C100" s="124">
        <f t="shared" si="5"/>
        <v>20</v>
      </c>
      <c r="D100" s="124">
        <f t="shared" si="7"/>
        <v>5</v>
      </c>
      <c r="E100" s="28">
        <v>0</v>
      </c>
      <c r="F100" s="27" t="s">
        <v>459</v>
      </c>
      <c r="G100" s="124">
        <v>30</v>
      </c>
      <c r="H100" s="28" t="str">
        <f>CONCATENATE(SUMIF($C$6:$C100,C100,$E$6:$E$370)," / ",SUMIF($C$6:$C$370,C100,$E$6:$E$370))</f>
        <v>0 / 64</v>
      </c>
      <c r="I100" s="28" t="str">
        <f>CONCATENATE(SUMIF($D$6:$D100,D100,$E$6:$E$370)," / ",SUMIF($D$6:$D$370,D100,$E$6:$E$370))</f>
        <v>115 / 213</v>
      </c>
      <c r="J100" s="28" t="str">
        <f>CONCATENATE(SUM($E$6:$E100)," / ",SUM($E$6:$E$370))</f>
        <v>801 / 2271</v>
      </c>
      <c r="K100" s="24"/>
      <c r="L100" s="28" t="str">
        <f>CONCATENATE(SUMIF($C$6:$C100,C100,$G$6:$G$370)," / ",SUMIF($C$6:$C$370,C100,$G$6:$G$370))</f>
        <v>30 / 30</v>
      </c>
      <c r="M100" s="28" t="str">
        <f>CONCATENATE(SUMIF($D$6:$D100,D100,$G$6:$G$370)," / ",SUMIF($D$6:$D$370,D100,$G$6:$G$370))</f>
        <v>60 / 100</v>
      </c>
      <c r="N100" s="28" t="str">
        <f>CONCATENATE(SUM($G$6:$G100)," / ",SUM($G$6:$G$370))</f>
        <v>60 / 2244,5</v>
      </c>
      <c r="O100" s="24" t="s">
        <v>489</v>
      </c>
      <c r="P100" s="224">
        <v>0</v>
      </c>
      <c r="Q100" s="28" t="str">
        <f>CONCATENATE(SUMIF($C$6:$C100,C100,$P$6:$P$370)," / ",SUMIF($C$6:$C$370,C100,$P$6:$P$370))</f>
        <v>0 / 0</v>
      </c>
      <c r="R100" s="28" t="str">
        <f>CONCATENATE(SUMIF($D$6:$D100,$D100,$P$6:$P$370)," / ",SUMIF($D$6:$D$370,$D100,$P$6:$P$370))</f>
        <v>0 / 0</v>
      </c>
      <c r="S100" s="28" t="str">
        <f>CONCATENATE(SUM($P$6:$P100)," / ",SUM($P$6:$P$370))</f>
        <v>0 / 30850</v>
      </c>
    </row>
    <row r="101" spans="2:19" ht="13" thickBot="1">
      <c r="B101" s="238">
        <f t="shared" si="6"/>
        <v>42135</v>
      </c>
      <c r="C101" s="124">
        <f t="shared" si="5"/>
        <v>20</v>
      </c>
      <c r="D101" s="124">
        <f t="shared" si="7"/>
        <v>5</v>
      </c>
      <c r="E101" s="28">
        <v>5</v>
      </c>
      <c r="F101" s="27" t="s">
        <v>461</v>
      </c>
      <c r="G101" s="124"/>
      <c r="H101" s="28" t="str">
        <f>CONCATENATE(SUMIF($C$6:$C101,C101,$E$6:$E$370)," / ",SUMIF($C$6:$C$370,C101,$E$6:$E$370))</f>
        <v>5 / 64</v>
      </c>
      <c r="I101" s="28" t="str">
        <f>CONCATENATE(SUMIF($D$6:$D101,D101,$E$6:$E$370)," / ",SUMIF($D$6:$D$370,D101,$E$6:$E$370))</f>
        <v>120 / 213</v>
      </c>
      <c r="J101" s="28" t="str">
        <f>CONCATENATE(SUM($E$6:$E101)," / ",SUM($E$6:$E$370))</f>
        <v>806 / 2271</v>
      </c>
      <c r="K101" s="24" t="s">
        <v>427</v>
      </c>
      <c r="L101" s="28" t="str">
        <f>CONCATENATE(SUMIF($C$6:$C101,C101,$G$6:$G$370)," / ",SUMIF($C$6:$C$370,C101,$G$6:$G$370))</f>
        <v>30 / 30</v>
      </c>
      <c r="M101" s="28" t="str">
        <f>CONCATENATE(SUMIF($D$6:$D101,D101,$G$6:$G$370)," / ",SUMIF($D$6:$D$370,D101,$G$6:$G$370))</f>
        <v>60 / 100</v>
      </c>
      <c r="N101" s="28" t="str">
        <f>CONCATENATE(SUM($G$6:$G101)," / ",SUM($G$6:$G$370))</f>
        <v>60 / 2244,5</v>
      </c>
      <c r="O101" s="24"/>
      <c r="P101" s="224">
        <v>0</v>
      </c>
      <c r="Q101" s="28" t="str">
        <f>CONCATENATE(SUMIF($C$6:$C101,C101,$P$6:$P$370)," / ",SUMIF($C$6:$C$370,C101,$P$6:$P$370))</f>
        <v>0 / 0</v>
      </c>
      <c r="R101" s="28" t="str">
        <f>CONCATENATE(SUMIF($D$6:$D101,$D101,$P$6:$P$370)," / ",SUMIF($D$6:$D$370,$D101,$P$6:$P$370))</f>
        <v>0 / 0</v>
      </c>
      <c r="S101" s="28" t="str">
        <f>CONCATENATE(SUM($P$6:$P101)," / ",SUM($P$6:$P$370))</f>
        <v>0 / 30850</v>
      </c>
    </row>
    <row r="102" spans="2:19" ht="13" thickBot="1">
      <c r="B102" s="238">
        <f t="shared" si="6"/>
        <v>42136</v>
      </c>
      <c r="C102" s="124">
        <f t="shared" si="5"/>
        <v>20</v>
      </c>
      <c r="D102" s="124">
        <f t="shared" si="7"/>
        <v>5</v>
      </c>
      <c r="E102" s="28">
        <v>24</v>
      </c>
      <c r="F102" s="27" t="s">
        <v>462</v>
      </c>
      <c r="G102" s="124"/>
      <c r="H102" s="28" t="str">
        <f>CONCATENATE(SUMIF($C$6:$C102,C102,$E$6:$E$370)," / ",SUMIF($C$6:$C$370,C102,$E$6:$E$370))</f>
        <v>29 / 64</v>
      </c>
      <c r="I102" s="28" t="str">
        <f>CONCATENATE(SUMIF($D$6:$D102,D102,$E$6:$E$370)," / ",SUMIF($D$6:$D$370,D102,$E$6:$E$370))</f>
        <v>144 / 213</v>
      </c>
      <c r="J102" s="28" t="str">
        <f>CONCATENATE(SUM($E$6:$E102)," / ",SUM($E$6:$E$370))</f>
        <v>830 / 2271</v>
      </c>
      <c r="K102" s="24" t="s">
        <v>427</v>
      </c>
      <c r="L102" s="28" t="str">
        <f>CONCATENATE(SUMIF($C$6:$C102,C102,$G$6:$G$370)," / ",SUMIF($C$6:$C$370,C102,$G$6:$G$370))</f>
        <v>30 / 30</v>
      </c>
      <c r="M102" s="28" t="str">
        <f>CONCATENATE(SUMIF($D$6:$D102,D102,$G$6:$G$370)," / ",SUMIF($D$6:$D$370,D102,$G$6:$G$370))</f>
        <v>60 / 100</v>
      </c>
      <c r="N102" s="28" t="str">
        <f>CONCATENATE(SUM($G$6:$G102)," / ",SUM($G$6:$G$370))</f>
        <v>60 / 2244,5</v>
      </c>
      <c r="O102" s="24"/>
      <c r="P102" s="224">
        <v>0</v>
      </c>
      <c r="Q102" s="28" t="str">
        <f>CONCATENATE(SUMIF($C$6:$C102,C102,$P$6:$P$370)," / ",SUMIF($C$6:$C$370,C102,$P$6:$P$370))</f>
        <v>0 / 0</v>
      </c>
      <c r="R102" s="28" t="str">
        <f>CONCATENATE(SUMIF($D$6:$D102,$D102,$P$6:$P$370)," / ",SUMIF($D$6:$D$370,$D102,$P$6:$P$370))</f>
        <v>0 / 0</v>
      </c>
      <c r="S102" s="28" t="str">
        <f>CONCATENATE(SUM($P$6:$P102)," / ",SUM($P$6:$P$370))</f>
        <v>0 / 30850</v>
      </c>
    </row>
    <row r="103" spans="2:19" ht="13" thickBot="1">
      <c r="B103" s="238">
        <f t="shared" si="6"/>
        <v>42137</v>
      </c>
      <c r="C103" s="124">
        <f t="shared" si="5"/>
        <v>20</v>
      </c>
      <c r="D103" s="124">
        <f t="shared" si="7"/>
        <v>5</v>
      </c>
      <c r="E103" s="28">
        <v>0</v>
      </c>
      <c r="F103" s="192"/>
      <c r="G103" s="124"/>
      <c r="H103" s="28" t="str">
        <f>CONCATENATE(SUMIF($C$6:$C103,C103,$E$6:$E$370)," / ",SUMIF($C$6:$C$370,C103,$E$6:$E$370))</f>
        <v>29 / 64</v>
      </c>
      <c r="I103" s="28" t="str">
        <f>CONCATENATE(SUMIF($D$6:$D103,D103,$E$6:$E$370)," / ",SUMIF($D$6:$D$370,D103,$E$6:$E$370))</f>
        <v>144 / 213</v>
      </c>
      <c r="J103" s="28" t="str">
        <f>CONCATENATE(SUM($E$6:$E103)," / ",SUM($E$6:$E$370))</f>
        <v>830 / 2271</v>
      </c>
      <c r="K103" s="24"/>
      <c r="L103" s="28" t="str">
        <f>CONCATENATE(SUMIF($C$6:$C103,C103,$G$6:$G$370)," / ",SUMIF($C$6:$C$370,C103,$G$6:$G$370))</f>
        <v>30 / 30</v>
      </c>
      <c r="M103" s="28" t="str">
        <f>CONCATENATE(SUMIF($D$6:$D103,D103,$G$6:$G$370)," / ",SUMIF($D$6:$D$370,D103,$G$6:$G$370))</f>
        <v>60 / 100</v>
      </c>
      <c r="N103" s="28" t="str">
        <f>CONCATENATE(SUM($G$6:$G103)," / ",SUM($G$6:$G$370))</f>
        <v>60 / 2244,5</v>
      </c>
      <c r="O103" s="24"/>
      <c r="P103" s="224">
        <v>0</v>
      </c>
      <c r="Q103" s="28" t="str">
        <f>CONCATENATE(SUMIF($C$6:$C103,C103,$P$6:$P$370)," / ",SUMIF($C$6:$C$370,C103,$P$6:$P$370))</f>
        <v>0 / 0</v>
      </c>
      <c r="R103" s="28" t="str">
        <f>CONCATENATE(SUMIF($D$6:$D103,$D103,$P$6:$P$370)," / ",SUMIF($D$6:$D$370,$D103,$P$6:$P$370))</f>
        <v>0 / 0</v>
      </c>
      <c r="S103" s="28" t="str">
        <f>CONCATENATE(SUM($P$6:$P103)," / ",SUM($P$6:$P$370))</f>
        <v>0 / 30850</v>
      </c>
    </row>
    <row r="104" spans="2:19" ht="13" thickBot="1">
      <c r="B104" s="238">
        <f t="shared" si="6"/>
        <v>42138</v>
      </c>
      <c r="C104" s="124">
        <f t="shared" si="5"/>
        <v>20</v>
      </c>
      <c r="D104" s="124">
        <f t="shared" si="7"/>
        <v>5</v>
      </c>
      <c r="E104" s="28">
        <v>22</v>
      </c>
      <c r="F104" s="27" t="s">
        <v>463</v>
      </c>
      <c r="G104" s="124"/>
      <c r="H104" s="28" t="str">
        <f>CONCATENATE(SUMIF($C$6:$C104,C104,$E$6:$E$370)," / ",SUMIF($C$6:$C$370,C104,$E$6:$E$370))</f>
        <v>51 / 64</v>
      </c>
      <c r="I104" s="28" t="str">
        <f>CONCATENATE(SUMIF($D$6:$D104,D104,$E$6:$E$370)," / ",SUMIF($D$6:$D$370,D104,$E$6:$E$370))</f>
        <v>166 / 213</v>
      </c>
      <c r="J104" s="28" t="str">
        <f>CONCATENATE(SUM($E$6:$E104)," / ",SUM($E$6:$E$370))</f>
        <v>852 / 2271</v>
      </c>
      <c r="K104" s="24" t="s">
        <v>427</v>
      </c>
      <c r="L104" s="28" t="str">
        <f>CONCATENATE(SUMIF($C$6:$C104,C104,$G$6:$G$370)," / ",SUMIF($C$6:$C$370,C104,$G$6:$G$370))</f>
        <v>30 / 30</v>
      </c>
      <c r="M104" s="28" t="str">
        <f>CONCATENATE(SUMIF($D$6:$D104,D104,$G$6:$G$370)," / ",SUMIF($D$6:$D$370,D104,$G$6:$G$370))</f>
        <v>60 / 100</v>
      </c>
      <c r="N104" s="28" t="str">
        <f>CONCATENATE(SUM($G$6:$G104)," / ",SUM($G$6:$G$370))</f>
        <v>60 / 2244,5</v>
      </c>
      <c r="O104" s="24"/>
      <c r="P104" s="224">
        <v>0</v>
      </c>
      <c r="Q104" s="28" t="str">
        <f>CONCATENATE(SUMIF($C$6:$C104,C104,$P$6:$P$370)," / ",SUMIF($C$6:$C$370,C104,$P$6:$P$370))</f>
        <v>0 / 0</v>
      </c>
      <c r="R104" s="28" t="str">
        <f>CONCATENATE(SUMIF($D$6:$D104,$D104,$P$6:$P$370)," / ",SUMIF($D$6:$D$370,$D104,$P$6:$P$370))</f>
        <v>0 / 0</v>
      </c>
      <c r="S104" s="28" t="str">
        <f>CONCATENATE(SUM($P$6:$P104)," / ",SUM($P$6:$P$370))</f>
        <v>0 / 30850</v>
      </c>
    </row>
    <row r="105" spans="2:19" ht="13" thickBot="1">
      <c r="B105" s="238">
        <f t="shared" si="6"/>
        <v>42139</v>
      </c>
      <c r="C105" s="124">
        <f t="shared" si="5"/>
        <v>20</v>
      </c>
      <c r="D105" s="124">
        <f t="shared" si="7"/>
        <v>5</v>
      </c>
      <c r="E105" s="28">
        <v>0</v>
      </c>
      <c r="F105" s="192"/>
      <c r="G105" s="124"/>
      <c r="H105" s="28" t="str">
        <f>CONCATENATE(SUMIF($C$6:$C105,C105,$E$6:$E$370)," / ",SUMIF($C$6:$C$370,C105,$E$6:$E$370))</f>
        <v>51 / 64</v>
      </c>
      <c r="I105" s="28" t="str">
        <f>CONCATENATE(SUMIF($D$6:$D105,D105,$E$6:$E$370)," / ",SUMIF($D$6:$D$370,D105,$E$6:$E$370))</f>
        <v>166 / 213</v>
      </c>
      <c r="J105" s="28" t="str">
        <f>CONCATENATE(SUM($E$6:$E105)," / ",SUM($E$6:$E$370))</f>
        <v>852 / 2271</v>
      </c>
      <c r="K105" s="24"/>
      <c r="L105" s="28" t="str">
        <f>CONCATENATE(SUMIF($C$6:$C105,C105,$G$6:$G$370)," / ",SUMIF($C$6:$C$370,C105,$G$6:$G$370))</f>
        <v>30 / 30</v>
      </c>
      <c r="M105" s="28" t="str">
        <f>CONCATENATE(SUMIF($D$6:$D105,D105,$G$6:$G$370)," / ",SUMIF($D$6:$D$370,D105,$G$6:$G$370))</f>
        <v>60 / 100</v>
      </c>
      <c r="N105" s="28" t="str">
        <f>CONCATENATE(SUM($G$6:$G105)," / ",SUM($G$6:$G$370))</f>
        <v>60 / 2244,5</v>
      </c>
      <c r="O105" s="24"/>
      <c r="P105" s="224">
        <v>0</v>
      </c>
      <c r="Q105" s="28" t="str">
        <f>CONCATENATE(SUMIF($C$6:$C105,C105,$P$6:$P$370)," / ",SUMIF($C$6:$C$370,C105,$P$6:$P$370))</f>
        <v>0 / 0</v>
      </c>
      <c r="R105" s="28" t="str">
        <f>CONCATENATE(SUMIF($D$6:$D105,$D105,$P$6:$P$370)," / ",SUMIF($D$6:$D$370,$D105,$P$6:$P$370))</f>
        <v>0 / 0</v>
      </c>
      <c r="S105" s="28" t="str">
        <f>CONCATENATE(SUM($P$6:$P105)," / ",SUM($P$6:$P$370))</f>
        <v>0 / 30850</v>
      </c>
    </row>
    <row r="106" spans="2:19" ht="13" thickBot="1">
      <c r="B106" s="238">
        <f t="shared" si="6"/>
        <v>42140</v>
      </c>
      <c r="C106" s="124">
        <f t="shared" si="5"/>
        <v>20</v>
      </c>
      <c r="D106" s="124">
        <f t="shared" si="7"/>
        <v>5</v>
      </c>
      <c r="E106" s="28">
        <v>13</v>
      </c>
      <c r="F106" s="27" t="s">
        <v>465</v>
      </c>
      <c r="G106" s="124"/>
      <c r="H106" s="28" t="str">
        <f>CONCATENATE(SUMIF($C$6:$C106,C106,$E$6:$E$370)," / ",SUMIF($C$6:$C$370,C106,$E$6:$E$370))</f>
        <v>64 / 64</v>
      </c>
      <c r="I106" s="28" t="str">
        <f>CONCATENATE(SUMIF($D$6:$D106,D106,$E$6:$E$370)," / ",SUMIF($D$6:$D$370,D106,$E$6:$E$370))</f>
        <v>179 / 213</v>
      </c>
      <c r="J106" s="28" t="str">
        <f>CONCATENATE(SUM($E$6:$E106)," / ",SUM($E$6:$E$370))</f>
        <v>865 / 2271</v>
      </c>
      <c r="K106" s="24" t="s">
        <v>427</v>
      </c>
      <c r="L106" s="28" t="str">
        <f>CONCATENATE(SUMIF($C$6:$C106,C106,$G$6:$G$370)," / ",SUMIF($C$6:$C$370,C106,$G$6:$G$370))</f>
        <v>30 / 30</v>
      </c>
      <c r="M106" s="28" t="str">
        <f>CONCATENATE(SUMIF($D$6:$D106,D106,$G$6:$G$370)," / ",SUMIF($D$6:$D$370,D106,$G$6:$G$370))</f>
        <v>60 / 100</v>
      </c>
      <c r="N106" s="28" t="str">
        <f>CONCATENATE(SUM($G$6:$G106)," / ",SUM($G$6:$G$370))</f>
        <v>60 / 2244,5</v>
      </c>
      <c r="O106" s="24"/>
      <c r="P106" s="224">
        <v>0</v>
      </c>
      <c r="Q106" s="28" t="str">
        <f>CONCATENATE(SUMIF($C$6:$C106,C106,$P$6:$P$370)," / ",SUMIF($C$6:$C$370,C106,$P$6:$P$370))</f>
        <v>0 / 0</v>
      </c>
      <c r="R106" s="28" t="str">
        <f>CONCATENATE(SUMIF($D$6:$D106,$D106,$P$6:$P$370)," / ",SUMIF($D$6:$D$370,$D106,$P$6:$P$370))</f>
        <v>0 / 0</v>
      </c>
      <c r="S106" s="28" t="str">
        <f>CONCATENATE(SUM($P$6:$P106)," / ",SUM($P$6:$P$370))</f>
        <v>0 / 30850</v>
      </c>
    </row>
    <row r="107" spans="2:19" ht="13" thickBot="1">
      <c r="B107" s="238">
        <f t="shared" si="6"/>
        <v>42141</v>
      </c>
      <c r="C107" s="124">
        <f t="shared" si="5"/>
        <v>21</v>
      </c>
      <c r="D107" s="124">
        <f t="shared" si="7"/>
        <v>5</v>
      </c>
      <c r="E107" s="28">
        <v>0</v>
      </c>
      <c r="F107" s="27" t="s">
        <v>466</v>
      </c>
      <c r="G107" s="124">
        <v>40</v>
      </c>
      <c r="H107" s="28" t="str">
        <f>CONCATENATE(SUMIF($C$6:$C107,C107,$E$6:$E$370)," / ",SUMIF($C$6:$C$370,C107,$E$6:$E$370))</f>
        <v>0 / 14</v>
      </c>
      <c r="I107" s="28" t="str">
        <f>CONCATENATE(SUMIF($D$6:$D107,D107,$E$6:$E$370)," / ",SUMIF($D$6:$D$370,D107,$E$6:$E$370))</f>
        <v>179 / 213</v>
      </c>
      <c r="J107" s="28" t="str">
        <f>CONCATENATE(SUM($E$6:$E107)," / ",SUM($E$6:$E$370))</f>
        <v>865 / 2271</v>
      </c>
      <c r="K107" s="24"/>
      <c r="L107" s="28" t="str">
        <f>CONCATENATE(SUMIF($C$6:$C107,C107,$G$6:$G$370)," / ",SUMIF($C$6:$C$370,C107,$G$6:$G$370))</f>
        <v>40 / 40</v>
      </c>
      <c r="M107" s="28" t="str">
        <f>CONCATENATE(SUMIF($D$6:$D107,D107,$G$6:$G$370)," / ",SUMIF($D$6:$D$370,D107,$G$6:$G$370))</f>
        <v>100 / 100</v>
      </c>
      <c r="N107" s="28" t="str">
        <f>CONCATENATE(SUM($G$6:$G107)," / ",SUM($G$6:$G$370))</f>
        <v>100 / 2244,5</v>
      </c>
      <c r="O107" s="24" t="s">
        <v>489</v>
      </c>
      <c r="P107" s="224">
        <v>0</v>
      </c>
      <c r="Q107" s="28" t="str">
        <f>CONCATENATE(SUMIF($C$6:$C107,C107,$P$6:$P$370)," / ",SUMIF($C$6:$C$370,C107,$P$6:$P$370))</f>
        <v>0 / 0</v>
      </c>
      <c r="R107" s="28" t="str">
        <f>CONCATENATE(SUMIF($D$6:$D107,$D107,$P$6:$P$370)," / ",SUMIF($D$6:$D$370,$D107,$P$6:$P$370))</f>
        <v>0 / 0</v>
      </c>
      <c r="S107" s="28" t="str">
        <f>CONCATENATE(SUM($P$6:$P107)," / ",SUM($P$6:$P$370))</f>
        <v>0 / 30850</v>
      </c>
    </row>
    <row r="108" spans="2:19" ht="13" thickBot="1">
      <c r="B108" s="238">
        <f t="shared" si="6"/>
        <v>42142</v>
      </c>
      <c r="C108" s="124">
        <f t="shared" si="5"/>
        <v>21</v>
      </c>
      <c r="D108" s="124">
        <f t="shared" si="7"/>
        <v>5</v>
      </c>
      <c r="E108" s="28">
        <v>0</v>
      </c>
      <c r="F108" s="192"/>
      <c r="G108" s="124"/>
      <c r="H108" s="28" t="str">
        <f>CONCATENATE(SUMIF($C$6:$C108,C108,$E$6:$E$370)," / ",SUMIF($C$6:$C$370,C108,$E$6:$E$370))</f>
        <v>0 / 14</v>
      </c>
      <c r="I108" s="28" t="str">
        <f>CONCATENATE(SUMIF($D$6:$D108,D108,$E$6:$E$370)," / ",SUMIF($D$6:$D$370,D108,$E$6:$E$370))</f>
        <v>179 / 213</v>
      </c>
      <c r="J108" s="28" t="str">
        <f>CONCATENATE(SUM($E$6:$E108)," / ",SUM($E$6:$E$370))</f>
        <v>865 / 2271</v>
      </c>
      <c r="K108" s="24"/>
      <c r="L108" s="28" t="str">
        <f>CONCATENATE(SUMIF($C$6:$C108,C108,$G$6:$G$370)," / ",SUMIF($C$6:$C$370,C108,$G$6:$G$370))</f>
        <v>40 / 40</v>
      </c>
      <c r="M108" s="28" t="str">
        <f>CONCATENATE(SUMIF($D$6:$D108,D108,$G$6:$G$370)," / ",SUMIF($D$6:$D$370,D108,$G$6:$G$370))</f>
        <v>100 / 100</v>
      </c>
      <c r="N108" s="28" t="str">
        <f>CONCATENATE(SUM($G$6:$G108)," / ",SUM($G$6:$G$370))</f>
        <v>100 / 2244,5</v>
      </c>
      <c r="O108" s="24"/>
      <c r="P108" s="224">
        <v>0</v>
      </c>
      <c r="Q108" s="28" t="str">
        <f>CONCATENATE(SUMIF($C$6:$C108,C108,$P$6:$P$370)," / ",SUMIF($C$6:$C$370,C108,$P$6:$P$370))</f>
        <v>0 / 0</v>
      </c>
      <c r="R108" s="28" t="str">
        <f>CONCATENATE(SUMIF($D$6:$D108,$D108,$P$6:$P$370)," / ",SUMIF($D$6:$D$370,$D108,$P$6:$P$370))</f>
        <v>0 / 0</v>
      </c>
      <c r="S108" s="28" t="str">
        <f>CONCATENATE(SUM($P$6:$P108)," / ",SUM($P$6:$P$370))</f>
        <v>0 / 30850</v>
      </c>
    </row>
    <row r="109" spans="2:19" ht="13" thickBot="1">
      <c r="B109" s="238">
        <f t="shared" si="6"/>
        <v>42143</v>
      </c>
      <c r="C109" s="124">
        <f t="shared" si="5"/>
        <v>21</v>
      </c>
      <c r="D109" s="124">
        <f t="shared" si="7"/>
        <v>5</v>
      </c>
      <c r="E109" s="28">
        <v>0</v>
      </c>
      <c r="F109" s="192"/>
      <c r="G109" s="124"/>
      <c r="H109" s="28" t="str">
        <f>CONCATENATE(SUMIF($C$6:$C109,C109,$E$6:$E$370)," / ",SUMIF($C$6:$C$370,C109,$E$6:$E$370))</f>
        <v>0 / 14</v>
      </c>
      <c r="I109" s="28" t="str">
        <f>CONCATENATE(SUMIF($D$6:$D109,D109,$E$6:$E$370)," / ",SUMIF($D$6:$D$370,D109,$E$6:$E$370))</f>
        <v>179 / 213</v>
      </c>
      <c r="J109" s="28" t="str">
        <f>CONCATENATE(SUM($E$6:$E109)," / ",SUM($E$6:$E$370))</f>
        <v>865 / 2271</v>
      </c>
      <c r="K109" s="24"/>
      <c r="L109" s="28" t="str">
        <f>CONCATENATE(SUMIF($C$6:$C109,C109,$G$6:$G$370)," / ",SUMIF($C$6:$C$370,C109,$G$6:$G$370))</f>
        <v>40 / 40</v>
      </c>
      <c r="M109" s="28" t="str">
        <f>CONCATENATE(SUMIF($D$6:$D109,D109,$G$6:$G$370)," / ",SUMIF($D$6:$D$370,D109,$G$6:$G$370))</f>
        <v>100 / 100</v>
      </c>
      <c r="N109" s="28" t="str">
        <f>CONCATENATE(SUM($G$6:$G109)," / ",SUM($G$6:$G$370))</f>
        <v>100 / 2244,5</v>
      </c>
      <c r="O109" s="24"/>
      <c r="P109" s="224">
        <v>0</v>
      </c>
      <c r="Q109" s="28" t="str">
        <f>CONCATENATE(SUMIF($C$6:$C109,C109,$P$6:$P$370)," / ",SUMIF($C$6:$C$370,C109,$P$6:$P$370))</f>
        <v>0 / 0</v>
      </c>
      <c r="R109" s="28" t="str">
        <f>CONCATENATE(SUMIF($D$6:$D109,$D109,$P$6:$P$370)," / ",SUMIF($D$6:$D$370,$D109,$P$6:$P$370))</f>
        <v>0 / 0</v>
      </c>
      <c r="S109" s="28" t="str">
        <f>CONCATENATE(SUM($P$6:$P109)," / ",SUM($P$6:$P$370))</f>
        <v>0 / 30850</v>
      </c>
    </row>
    <row r="110" spans="2:19" ht="13" thickBot="1">
      <c r="B110" s="238">
        <f t="shared" si="6"/>
        <v>42144</v>
      </c>
      <c r="C110" s="124">
        <f t="shared" si="5"/>
        <v>21</v>
      </c>
      <c r="D110" s="124">
        <f t="shared" si="7"/>
        <v>5</v>
      </c>
      <c r="E110" s="28">
        <v>0</v>
      </c>
      <c r="F110" s="192"/>
      <c r="G110" s="124"/>
      <c r="H110" s="28" t="str">
        <f>CONCATENATE(SUMIF($C$6:$C110,C110,$E$6:$E$370)," / ",SUMIF($C$6:$C$370,C110,$E$6:$E$370))</f>
        <v>0 / 14</v>
      </c>
      <c r="I110" s="28" t="str">
        <f>CONCATENATE(SUMIF($D$6:$D110,D110,$E$6:$E$370)," / ",SUMIF($D$6:$D$370,D110,$E$6:$E$370))</f>
        <v>179 / 213</v>
      </c>
      <c r="J110" s="28" t="str">
        <f>CONCATENATE(SUM($E$6:$E110)," / ",SUM($E$6:$E$370))</f>
        <v>865 / 2271</v>
      </c>
      <c r="K110" s="24"/>
      <c r="L110" s="28" t="str">
        <f>CONCATENATE(SUMIF($C$6:$C110,C110,$G$6:$G$370)," / ",SUMIF($C$6:$C$370,C110,$G$6:$G$370))</f>
        <v>40 / 40</v>
      </c>
      <c r="M110" s="28" t="str">
        <f>CONCATENATE(SUMIF($D$6:$D110,D110,$G$6:$G$370)," / ",SUMIF($D$6:$D$370,D110,$G$6:$G$370))</f>
        <v>100 / 100</v>
      </c>
      <c r="N110" s="28" t="str">
        <f>CONCATENATE(SUM($G$6:$G110)," / ",SUM($G$6:$G$370))</f>
        <v>100 / 2244,5</v>
      </c>
      <c r="O110" s="24"/>
      <c r="P110" s="224">
        <v>0</v>
      </c>
      <c r="Q110" s="28" t="str">
        <f>CONCATENATE(SUMIF($C$6:$C110,C110,$P$6:$P$370)," / ",SUMIF($C$6:$C$370,C110,$P$6:$P$370))</f>
        <v>0 / 0</v>
      </c>
      <c r="R110" s="28" t="str">
        <f>CONCATENATE(SUMIF($D$6:$D110,$D110,$P$6:$P$370)," / ",SUMIF($D$6:$D$370,$D110,$P$6:$P$370))</f>
        <v>0 / 0</v>
      </c>
      <c r="S110" s="28" t="str">
        <f>CONCATENATE(SUM($P$6:$P110)," / ",SUM($P$6:$P$370))</f>
        <v>0 / 30850</v>
      </c>
    </row>
    <row r="111" spans="2:19" ht="13" thickBot="1">
      <c r="B111" s="238">
        <f t="shared" si="6"/>
        <v>42145</v>
      </c>
      <c r="C111" s="124">
        <f t="shared" si="5"/>
        <v>21</v>
      </c>
      <c r="D111" s="124">
        <f t="shared" si="7"/>
        <v>5</v>
      </c>
      <c r="E111" s="28">
        <v>14</v>
      </c>
      <c r="F111" s="27" t="s">
        <v>467</v>
      </c>
      <c r="G111" s="124"/>
      <c r="H111" s="28" t="str">
        <f>CONCATENATE(SUMIF($C$6:$C111,C111,$E$6:$E$370)," / ",SUMIF($C$6:$C$370,C111,$E$6:$E$370))</f>
        <v>14 / 14</v>
      </c>
      <c r="I111" s="28" t="str">
        <f>CONCATENATE(SUMIF($D$6:$D111,D111,$E$6:$E$370)," / ",SUMIF($D$6:$D$370,D111,$E$6:$E$370))</f>
        <v>193 / 213</v>
      </c>
      <c r="J111" s="28" t="str">
        <f>CONCATENATE(SUM($E$6:$E111)," / ",SUM($E$6:$E$370))</f>
        <v>879 / 2271</v>
      </c>
      <c r="K111" s="24" t="s">
        <v>427</v>
      </c>
      <c r="L111" s="28" t="str">
        <f>CONCATENATE(SUMIF($C$6:$C111,C111,$G$6:$G$370)," / ",SUMIF($C$6:$C$370,C111,$G$6:$G$370))</f>
        <v>40 / 40</v>
      </c>
      <c r="M111" s="28" t="str">
        <f>CONCATENATE(SUMIF($D$6:$D111,D111,$G$6:$G$370)," / ",SUMIF($D$6:$D$370,D111,$G$6:$G$370))</f>
        <v>100 / 100</v>
      </c>
      <c r="N111" s="28" t="str">
        <f>CONCATENATE(SUM($G$6:$G111)," / ",SUM($G$6:$G$370))</f>
        <v>100 / 2244,5</v>
      </c>
      <c r="O111" s="24"/>
      <c r="P111" s="224">
        <v>0</v>
      </c>
      <c r="Q111" s="28" t="str">
        <f>CONCATENATE(SUMIF($C$6:$C111,C111,$P$6:$P$370)," / ",SUMIF($C$6:$C$370,C111,$P$6:$P$370))</f>
        <v>0 / 0</v>
      </c>
      <c r="R111" s="28" t="str">
        <f>CONCATENATE(SUMIF($D$6:$D111,$D111,$P$6:$P$370)," / ",SUMIF($D$6:$D$370,$D111,$P$6:$P$370))</f>
        <v>0 / 0</v>
      </c>
      <c r="S111" s="28" t="str">
        <f>CONCATENATE(SUM($P$6:$P111)," / ",SUM($P$6:$P$370))</f>
        <v>0 / 30850</v>
      </c>
    </row>
    <row r="112" spans="2:19" ht="13" thickBot="1">
      <c r="B112" s="238">
        <f t="shared" si="6"/>
        <v>42146</v>
      </c>
      <c r="C112" s="124">
        <f t="shared" si="5"/>
        <v>21</v>
      </c>
      <c r="D112" s="124">
        <f t="shared" si="7"/>
        <v>5</v>
      </c>
      <c r="E112" s="28">
        <v>0</v>
      </c>
      <c r="F112" s="192"/>
      <c r="G112" s="124"/>
      <c r="H112" s="28" t="str">
        <f>CONCATENATE(SUMIF($C$6:$C112,C112,$E$6:$E$370)," / ",SUMIF($C$6:$C$370,C112,$E$6:$E$370))</f>
        <v>14 / 14</v>
      </c>
      <c r="I112" s="28" t="str">
        <f>CONCATENATE(SUMIF($D$6:$D112,D112,$E$6:$E$370)," / ",SUMIF($D$6:$D$370,D112,$E$6:$E$370))</f>
        <v>193 / 213</v>
      </c>
      <c r="J112" s="28" t="str">
        <f>CONCATENATE(SUM($E$6:$E112)," / ",SUM($E$6:$E$370))</f>
        <v>879 / 2271</v>
      </c>
      <c r="K112" s="24"/>
      <c r="L112" s="28" t="str">
        <f>CONCATENATE(SUMIF($C$6:$C112,C112,$G$6:$G$370)," / ",SUMIF($C$6:$C$370,C112,$G$6:$G$370))</f>
        <v>40 / 40</v>
      </c>
      <c r="M112" s="28" t="str">
        <f>CONCATENATE(SUMIF($D$6:$D112,D112,$G$6:$G$370)," / ",SUMIF($D$6:$D$370,D112,$G$6:$G$370))</f>
        <v>100 / 100</v>
      </c>
      <c r="N112" s="28" t="str">
        <f>CONCATENATE(SUM($G$6:$G112)," / ",SUM($G$6:$G$370))</f>
        <v>100 / 2244,5</v>
      </c>
      <c r="O112" s="24"/>
      <c r="P112" s="224">
        <v>0</v>
      </c>
      <c r="Q112" s="28" t="str">
        <f>CONCATENATE(SUMIF($C$6:$C112,C112,$P$6:$P$370)," / ",SUMIF($C$6:$C$370,C112,$P$6:$P$370))</f>
        <v>0 / 0</v>
      </c>
      <c r="R112" s="28" t="str">
        <f>CONCATENATE(SUMIF($D$6:$D112,$D112,$P$6:$P$370)," / ",SUMIF($D$6:$D$370,$D112,$P$6:$P$370))</f>
        <v>0 / 0</v>
      </c>
      <c r="S112" s="28" t="str">
        <f>CONCATENATE(SUM($P$6:$P112)," / ",SUM($P$6:$P$370))</f>
        <v>0 / 30850</v>
      </c>
    </row>
    <row r="113" spans="2:19" ht="13" thickBot="1">
      <c r="B113" s="238">
        <f t="shared" si="6"/>
        <v>42147</v>
      </c>
      <c r="C113" s="124">
        <f t="shared" si="5"/>
        <v>21</v>
      </c>
      <c r="D113" s="124">
        <f t="shared" si="7"/>
        <v>5</v>
      </c>
      <c r="E113" s="28">
        <v>0</v>
      </c>
      <c r="F113" s="192"/>
      <c r="G113" s="124"/>
      <c r="H113" s="28" t="str">
        <f>CONCATENATE(SUMIF($C$6:$C113,C113,$E$6:$E$370)," / ",SUMIF($C$6:$C$370,C113,$E$6:$E$370))</f>
        <v>14 / 14</v>
      </c>
      <c r="I113" s="28" t="str">
        <f>CONCATENATE(SUMIF($D$6:$D113,D113,$E$6:$E$370)," / ",SUMIF($D$6:$D$370,D113,$E$6:$E$370))</f>
        <v>193 / 213</v>
      </c>
      <c r="J113" s="28" t="str">
        <f>CONCATENATE(SUM($E$6:$E113)," / ",SUM($E$6:$E$370))</f>
        <v>879 / 2271</v>
      </c>
      <c r="K113" s="24"/>
      <c r="L113" s="28" t="str">
        <f>CONCATENATE(SUMIF($C$6:$C113,C113,$G$6:$G$370)," / ",SUMIF($C$6:$C$370,C113,$G$6:$G$370))</f>
        <v>40 / 40</v>
      </c>
      <c r="M113" s="28" t="str">
        <f>CONCATENATE(SUMIF($D$6:$D113,D113,$G$6:$G$370)," / ",SUMIF($D$6:$D$370,D113,$G$6:$G$370))</f>
        <v>100 / 100</v>
      </c>
      <c r="N113" s="28" t="str">
        <f>CONCATENATE(SUM($G$6:$G113)," / ",SUM($G$6:$G$370))</f>
        <v>100 / 2244,5</v>
      </c>
      <c r="O113" s="24"/>
      <c r="P113" s="224">
        <v>0</v>
      </c>
      <c r="Q113" s="28" t="str">
        <f>CONCATENATE(SUMIF($C$6:$C113,C113,$P$6:$P$370)," / ",SUMIF($C$6:$C$370,C113,$P$6:$P$370))</f>
        <v>0 / 0</v>
      </c>
      <c r="R113" s="28" t="str">
        <f>CONCATENATE(SUMIF($D$6:$D113,$D113,$P$6:$P$370)," / ",SUMIF($D$6:$D$370,$D113,$P$6:$P$370))</f>
        <v>0 / 0</v>
      </c>
      <c r="S113" s="28" t="str">
        <f>CONCATENATE(SUM($P$6:$P113)," / ",SUM($P$6:$P$370))</f>
        <v>0 / 30850</v>
      </c>
    </row>
    <row r="114" spans="2:19" ht="13" thickBot="1">
      <c r="B114" s="238">
        <f t="shared" si="6"/>
        <v>42148</v>
      </c>
      <c r="C114" s="124">
        <f t="shared" si="5"/>
        <v>22</v>
      </c>
      <c r="D114" s="124">
        <f t="shared" si="7"/>
        <v>5</v>
      </c>
      <c r="E114" s="28">
        <v>0</v>
      </c>
      <c r="F114" s="192"/>
      <c r="G114" s="124"/>
      <c r="H114" s="28" t="str">
        <f>CONCATENATE(SUMIF($C$6:$C114,C114,$E$6:$E$370)," / ",SUMIF($C$6:$C$370,C114,$E$6:$E$370))</f>
        <v>0 / 14</v>
      </c>
      <c r="I114" s="28" t="str">
        <f>CONCATENATE(SUMIF($D$6:$D114,D114,$E$6:$E$370)," / ",SUMIF($D$6:$D$370,D114,$E$6:$E$370))</f>
        <v>193 / 213</v>
      </c>
      <c r="J114" s="28" t="str">
        <f>CONCATENATE(SUM($E$6:$E114)," / ",SUM($E$6:$E$370))</f>
        <v>879 / 2271</v>
      </c>
      <c r="K114" s="24"/>
      <c r="L114" s="28" t="str">
        <f>CONCATENATE(SUMIF($C$6:$C114,C114,$G$6:$G$370)," / ",SUMIF($C$6:$C$370,C114,$G$6:$G$370))</f>
        <v>0 / 0</v>
      </c>
      <c r="M114" s="28" t="str">
        <f>CONCATENATE(SUMIF($D$6:$D114,D114,$G$6:$G$370)," / ",SUMIF($D$6:$D$370,D114,$G$6:$G$370))</f>
        <v>100 / 100</v>
      </c>
      <c r="N114" s="28" t="str">
        <f>CONCATENATE(SUM($G$6:$G114)," / ",SUM($G$6:$G$370))</f>
        <v>100 / 2244,5</v>
      </c>
      <c r="O114" s="24"/>
      <c r="P114" s="224">
        <v>0</v>
      </c>
      <c r="Q114" s="28" t="str">
        <f>CONCATENATE(SUMIF($C$6:$C114,C114,$P$6:$P$370)," / ",SUMIF($C$6:$C$370,C114,$P$6:$P$370))</f>
        <v>0 / 0</v>
      </c>
      <c r="R114" s="28" t="str">
        <f>CONCATENATE(SUMIF($D$6:$D114,$D114,$P$6:$P$370)," / ",SUMIF($D$6:$D$370,$D114,$P$6:$P$370))</f>
        <v>0 / 0</v>
      </c>
      <c r="S114" s="28" t="str">
        <f>CONCATENATE(SUM($P$6:$P114)," / ",SUM($P$6:$P$370))</f>
        <v>0 / 30850</v>
      </c>
    </row>
    <row r="115" spans="2:19" ht="13" thickBot="1">
      <c r="B115" s="238">
        <f t="shared" si="6"/>
        <v>42149</v>
      </c>
      <c r="C115" s="124">
        <f t="shared" si="5"/>
        <v>22</v>
      </c>
      <c r="D115" s="124">
        <f t="shared" si="7"/>
        <v>5</v>
      </c>
      <c r="E115" s="28">
        <v>0</v>
      </c>
      <c r="F115" s="192"/>
      <c r="G115" s="124"/>
      <c r="H115" s="28" t="str">
        <f>CONCATENATE(SUMIF($C$6:$C115,C115,$E$6:$E$370)," / ",SUMIF($C$6:$C$370,C115,$E$6:$E$370))</f>
        <v>0 / 14</v>
      </c>
      <c r="I115" s="28" t="str">
        <f>CONCATENATE(SUMIF($D$6:$D115,D115,$E$6:$E$370)," / ",SUMIF($D$6:$D$370,D115,$E$6:$E$370))</f>
        <v>193 / 213</v>
      </c>
      <c r="J115" s="28" t="str">
        <f>CONCATENATE(SUM($E$6:$E115)," / ",SUM($E$6:$E$370))</f>
        <v>879 / 2271</v>
      </c>
      <c r="K115" s="24"/>
      <c r="L115" s="28" t="str">
        <f>CONCATENATE(SUMIF($C$6:$C115,C115,$G$6:$G$370)," / ",SUMIF($C$6:$C$370,C115,$G$6:$G$370))</f>
        <v>0 / 0</v>
      </c>
      <c r="M115" s="28" t="str">
        <f>CONCATENATE(SUMIF($D$6:$D115,D115,$G$6:$G$370)," / ",SUMIF($D$6:$D$370,D115,$G$6:$G$370))</f>
        <v>100 / 100</v>
      </c>
      <c r="N115" s="28" t="str">
        <f>CONCATENATE(SUM($G$6:$G115)," / ",SUM($G$6:$G$370))</f>
        <v>100 / 2244,5</v>
      </c>
      <c r="O115" s="24"/>
      <c r="P115" s="224">
        <v>0</v>
      </c>
      <c r="Q115" s="28" t="str">
        <f>CONCATENATE(SUMIF($C$6:$C115,C115,$P$6:$P$370)," / ",SUMIF($C$6:$C$370,C115,$P$6:$P$370))</f>
        <v>0 / 0</v>
      </c>
      <c r="R115" s="28" t="str">
        <f>CONCATENATE(SUMIF($D$6:$D115,$D115,$P$6:$P$370)," / ",SUMIF($D$6:$D$370,$D115,$P$6:$P$370))</f>
        <v>0 / 0</v>
      </c>
      <c r="S115" s="28" t="str">
        <f>CONCATENATE(SUM($P$6:$P115)," / ",SUM($P$6:$P$370))</f>
        <v>0 / 30850</v>
      </c>
    </row>
    <row r="116" spans="2:19" ht="13" thickBot="1">
      <c r="B116" s="238">
        <f t="shared" si="6"/>
        <v>42150</v>
      </c>
      <c r="C116" s="124">
        <f t="shared" si="5"/>
        <v>22</v>
      </c>
      <c r="D116" s="124">
        <f t="shared" si="7"/>
        <v>5</v>
      </c>
      <c r="E116" s="28">
        <v>0</v>
      </c>
      <c r="F116" s="192"/>
      <c r="G116" s="124"/>
      <c r="H116" s="28" t="str">
        <f>CONCATENATE(SUMIF($C$6:$C116,C116,$E$6:$E$370)," / ",SUMIF($C$6:$C$370,C116,$E$6:$E$370))</f>
        <v>0 / 14</v>
      </c>
      <c r="I116" s="28" t="str">
        <f>CONCATENATE(SUMIF($D$6:$D116,D116,$E$6:$E$370)," / ",SUMIF($D$6:$D$370,D116,$E$6:$E$370))</f>
        <v>193 / 213</v>
      </c>
      <c r="J116" s="28" t="str">
        <f>CONCATENATE(SUM($E$6:$E116)," / ",SUM($E$6:$E$370))</f>
        <v>879 / 2271</v>
      </c>
      <c r="K116" s="24"/>
      <c r="L116" s="28" t="str">
        <f>CONCATENATE(SUMIF($C$6:$C116,C116,$G$6:$G$370)," / ",SUMIF($C$6:$C$370,C116,$G$6:$G$370))</f>
        <v>0 / 0</v>
      </c>
      <c r="M116" s="28" t="str">
        <f>CONCATENATE(SUMIF($D$6:$D116,D116,$G$6:$G$370)," / ",SUMIF($D$6:$D$370,D116,$G$6:$G$370))</f>
        <v>100 / 100</v>
      </c>
      <c r="N116" s="28" t="str">
        <f>CONCATENATE(SUM($G$6:$G116)," / ",SUM($G$6:$G$370))</f>
        <v>100 / 2244,5</v>
      </c>
      <c r="O116" s="24"/>
      <c r="P116" s="224">
        <v>0</v>
      </c>
      <c r="Q116" s="28" t="str">
        <f>CONCATENATE(SUMIF($C$6:$C116,C116,$P$6:$P$370)," / ",SUMIF($C$6:$C$370,C116,$P$6:$P$370))</f>
        <v>0 / 0</v>
      </c>
      <c r="R116" s="28" t="str">
        <f>CONCATENATE(SUMIF($D$6:$D116,$D116,$P$6:$P$370)," / ",SUMIF($D$6:$D$370,$D116,$P$6:$P$370))</f>
        <v>0 / 0</v>
      </c>
      <c r="S116" s="28" t="str">
        <f>CONCATENATE(SUM($P$6:$P116)," / ",SUM($P$6:$P$370))</f>
        <v>0 / 30850</v>
      </c>
    </row>
    <row r="117" spans="2:19" ht="13" thickBot="1">
      <c r="B117" s="238">
        <f t="shared" si="6"/>
        <v>42151</v>
      </c>
      <c r="C117" s="124">
        <f t="shared" si="5"/>
        <v>22</v>
      </c>
      <c r="D117" s="124">
        <f t="shared" si="7"/>
        <v>5</v>
      </c>
      <c r="E117" s="28">
        <v>14</v>
      </c>
      <c r="F117" s="27" t="s">
        <v>467</v>
      </c>
      <c r="G117" s="124"/>
      <c r="H117" s="28" t="str">
        <f>CONCATENATE(SUMIF($C$6:$C117,C117,$E$6:$E$370)," / ",SUMIF($C$6:$C$370,C117,$E$6:$E$370))</f>
        <v>14 / 14</v>
      </c>
      <c r="I117" s="28" t="str">
        <f>CONCATENATE(SUMIF($D$6:$D117,D117,$E$6:$E$370)," / ",SUMIF($D$6:$D$370,D117,$E$6:$E$370))</f>
        <v>207 / 213</v>
      </c>
      <c r="J117" s="28" t="str">
        <f>CONCATENATE(SUM($E$6:$E117)," / ",SUM($E$6:$E$370))</f>
        <v>893 / 2271</v>
      </c>
      <c r="K117" s="24" t="s">
        <v>427</v>
      </c>
      <c r="L117" s="28" t="str">
        <f>CONCATENATE(SUMIF($C$6:$C117,C117,$G$6:$G$370)," / ",SUMIF($C$6:$C$370,C117,$G$6:$G$370))</f>
        <v>0 / 0</v>
      </c>
      <c r="M117" s="28" t="str">
        <f>CONCATENATE(SUMIF($D$6:$D117,D117,$G$6:$G$370)," / ",SUMIF($D$6:$D$370,D117,$G$6:$G$370))</f>
        <v>100 / 100</v>
      </c>
      <c r="N117" s="28" t="str">
        <f>CONCATENATE(SUM($G$6:$G117)," / ",SUM($G$6:$G$370))</f>
        <v>100 / 2244,5</v>
      </c>
      <c r="O117" s="24"/>
      <c r="P117" s="224">
        <v>0</v>
      </c>
      <c r="Q117" s="28" t="str">
        <f>CONCATENATE(SUMIF($C$6:$C117,C117,$P$6:$P$370)," / ",SUMIF($C$6:$C$370,C117,$P$6:$P$370))</f>
        <v>0 / 0</v>
      </c>
      <c r="R117" s="28" t="str">
        <f>CONCATENATE(SUMIF($D$6:$D117,$D117,$P$6:$P$370)," / ",SUMIF($D$6:$D$370,$D117,$P$6:$P$370))</f>
        <v>0 / 0</v>
      </c>
      <c r="S117" s="28" t="str">
        <f>CONCATENATE(SUM($P$6:$P117)," / ",SUM($P$6:$P$370))</f>
        <v>0 / 30850</v>
      </c>
    </row>
    <row r="118" spans="2:19" ht="13" thickBot="1">
      <c r="B118" s="238">
        <f t="shared" si="6"/>
        <v>42152</v>
      </c>
      <c r="C118" s="124">
        <f t="shared" si="5"/>
        <v>22</v>
      </c>
      <c r="D118" s="124">
        <f t="shared" si="7"/>
        <v>5</v>
      </c>
      <c r="E118" s="28">
        <v>0</v>
      </c>
      <c r="F118" s="192"/>
      <c r="G118" s="124"/>
      <c r="H118" s="28" t="str">
        <f>CONCATENATE(SUMIF($C$6:$C118,C118,$E$6:$E$370)," / ",SUMIF($C$6:$C$370,C118,$E$6:$E$370))</f>
        <v>14 / 14</v>
      </c>
      <c r="I118" s="28" t="str">
        <f>CONCATENATE(SUMIF($D$6:$D118,D118,$E$6:$E$370)," / ",SUMIF($D$6:$D$370,D118,$E$6:$E$370))</f>
        <v>207 / 213</v>
      </c>
      <c r="J118" s="28" t="str">
        <f>CONCATENATE(SUM($E$6:$E118)," / ",SUM($E$6:$E$370))</f>
        <v>893 / 2271</v>
      </c>
      <c r="K118" s="24"/>
      <c r="L118" s="28" t="str">
        <f>CONCATENATE(SUMIF($C$6:$C118,C118,$G$6:$G$370)," / ",SUMIF($C$6:$C$370,C118,$G$6:$G$370))</f>
        <v>0 / 0</v>
      </c>
      <c r="M118" s="28" t="str">
        <f>CONCATENATE(SUMIF($D$6:$D118,D118,$G$6:$G$370)," / ",SUMIF($D$6:$D$370,D118,$G$6:$G$370))</f>
        <v>100 / 100</v>
      </c>
      <c r="N118" s="28" t="str">
        <f>CONCATENATE(SUM($G$6:$G118)," / ",SUM($G$6:$G$370))</f>
        <v>100 / 2244,5</v>
      </c>
      <c r="O118" s="24"/>
      <c r="P118" s="224">
        <v>0</v>
      </c>
      <c r="Q118" s="28" t="str">
        <f>CONCATENATE(SUMIF($C$6:$C118,C118,$P$6:$P$370)," / ",SUMIF($C$6:$C$370,C118,$P$6:$P$370))</f>
        <v>0 / 0</v>
      </c>
      <c r="R118" s="28" t="str">
        <f>CONCATENATE(SUMIF($D$6:$D118,$D118,$P$6:$P$370)," / ",SUMIF($D$6:$D$370,$D118,$P$6:$P$370))</f>
        <v>0 / 0</v>
      </c>
      <c r="S118" s="28" t="str">
        <f>CONCATENATE(SUM($P$6:$P118)," / ",SUM($P$6:$P$370))</f>
        <v>0 / 30850</v>
      </c>
    </row>
    <row r="119" spans="2:19" ht="13" thickBot="1">
      <c r="B119" s="238">
        <f t="shared" si="6"/>
        <v>42153</v>
      </c>
      <c r="C119" s="124">
        <f t="shared" si="5"/>
        <v>22</v>
      </c>
      <c r="D119" s="124">
        <f t="shared" si="7"/>
        <v>5</v>
      </c>
      <c r="E119" s="28">
        <v>0</v>
      </c>
      <c r="F119" s="192"/>
      <c r="G119" s="124"/>
      <c r="H119" s="28" t="str">
        <f>CONCATENATE(SUMIF($C$6:$C119,C119,$E$6:$E$370)," / ",SUMIF($C$6:$C$370,C119,$E$6:$E$370))</f>
        <v>14 / 14</v>
      </c>
      <c r="I119" s="28" t="str">
        <f>CONCATENATE(SUMIF($D$6:$D119,D119,$E$6:$E$370)," / ",SUMIF($D$6:$D$370,D119,$E$6:$E$370))</f>
        <v>207 / 213</v>
      </c>
      <c r="J119" s="28" t="str">
        <f>CONCATENATE(SUM($E$6:$E119)," / ",SUM($E$6:$E$370))</f>
        <v>893 / 2271</v>
      </c>
      <c r="K119" s="24"/>
      <c r="L119" s="28" t="str">
        <f>CONCATENATE(SUMIF($C$6:$C119,C119,$G$6:$G$370)," / ",SUMIF($C$6:$C$370,C119,$G$6:$G$370))</f>
        <v>0 / 0</v>
      </c>
      <c r="M119" s="28" t="str">
        <f>CONCATENATE(SUMIF($D$6:$D119,D119,$G$6:$G$370)," / ",SUMIF($D$6:$D$370,D119,$G$6:$G$370))</f>
        <v>100 / 100</v>
      </c>
      <c r="N119" s="28" t="str">
        <f>CONCATENATE(SUM($G$6:$G119)," / ",SUM($G$6:$G$370))</f>
        <v>100 / 2244,5</v>
      </c>
      <c r="O119" s="24"/>
      <c r="P119" s="224">
        <v>0</v>
      </c>
      <c r="Q119" s="28" t="str">
        <f>CONCATENATE(SUMIF($C$6:$C119,C119,$P$6:$P$370)," / ",SUMIF($C$6:$C$370,C119,$P$6:$P$370))</f>
        <v>0 / 0</v>
      </c>
      <c r="R119" s="28" t="str">
        <f>CONCATENATE(SUMIF($D$6:$D119,$D119,$P$6:$P$370)," / ",SUMIF($D$6:$D$370,$D119,$P$6:$P$370))</f>
        <v>0 / 0</v>
      </c>
      <c r="S119" s="28" t="str">
        <f>CONCATENATE(SUM($P$6:$P119)," / ",SUM($P$6:$P$370))</f>
        <v>0 / 30850</v>
      </c>
    </row>
    <row r="120" spans="2:19" ht="13" thickBot="1">
      <c r="B120" s="238">
        <f t="shared" si="6"/>
        <v>42154</v>
      </c>
      <c r="C120" s="124">
        <f t="shared" si="5"/>
        <v>22</v>
      </c>
      <c r="D120" s="124">
        <f t="shared" si="7"/>
        <v>5</v>
      </c>
      <c r="E120" s="28">
        <v>0</v>
      </c>
      <c r="F120" s="192"/>
      <c r="G120" s="124"/>
      <c r="H120" s="28" t="str">
        <f>CONCATENATE(SUMIF($C$6:$C120,C120,$E$6:$E$370)," / ",SUMIF($C$6:$C$370,C120,$E$6:$E$370))</f>
        <v>14 / 14</v>
      </c>
      <c r="I120" s="28" t="str">
        <f>CONCATENATE(SUMIF($D$6:$D120,D120,$E$6:$E$370)," / ",SUMIF($D$6:$D$370,D120,$E$6:$E$370))</f>
        <v>207 / 213</v>
      </c>
      <c r="J120" s="28" t="str">
        <f>CONCATENATE(SUM($E$6:$E120)," / ",SUM($E$6:$E$370))</f>
        <v>893 / 2271</v>
      </c>
      <c r="K120" s="24"/>
      <c r="L120" s="28" t="str">
        <f>CONCATENATE(SUMIF($C$6:$C120,C120,$G$6:$G$370)," / ",SUMIF($C$6:$C$370,C120,$G$6:$G$370))</f>
        <v>0 / 0</v>
      </c>
      <c r="M120" s="28" t="str">
        <f>CONCATENATE(SUMIF($D$6:$D120,D120,$G$6:$G$370)," / ",SUMIF($D$6:$D$370,D120,$G$6:$G$370))</f>
        <v>100 / 100</v>
      </c>
      <c r="N120" s="28" t="str">
        <f>CONCATENATE(SUM($G$6:$G120)," / ",SUM($G$6:$G$370))</f>
        <v>100 / 2244,5</v>
      </c>
      <c r="O120" s="24"/>
      <c r="P120" s="224">
        <v>0</v>
      </c>
      <c r="Q120" s="28" t="str">
        <f>CONCATENATE(SUMIF($C$6:$C120,C120,$P$6:$P$370)," / ",SUMIF($C$6:$C$370,C120,$P$6:$P$370))</f>
        <v>0 / 0</v>
      </c>
      <c r="R120" s="28" t="str">
        <f>CONCATENATE(SUMIF($D$6:$D120,$D120,$P$6:$P$370)," / ",SUMIF($D$6:$D$370,$D120,$P$6:$P$370))</f>
        <v>0 / 0</v>
      </c>
      <c r="S120" s="28" t="str">
        <f>CONCATENATE(SUM($P$6:$P120)," / ",SUM($P$6:$P$370))</f>
        <v>0 / 30850</v>
      </c>
    </row>
    <row r="121" spans="2:19" ht="13" thickBot="1">
      <c r="B121" s="238">
        <f t="shared" si="6"/>
        <v>42155</v>
      </c>
      <c r="C121" s="124">
        <f t="shared" si="5"/>
        <v>23</v>
      </c>
      <c r="D121" s="124">
        <f t="shared" si="7"/>
        <v>5</v>
      </c>
      <c r="E121" s="28">
        <v>6</v>
      </c>
      <c r="F121" s="27" t="s">
        <v>468</v>
      </c>
      <c r="G121" s="124"/>
      <c r="H121" s="28" t="str">
        <f>CONCATENATE(SUMIF($C$6:$C121,C121,$E$6:$E$370)," / ",SUMIF($C$6:$C$370,C121,$E$6:$E$370))</f>
        <v>6 / 50</v>
      </c>
      <c r="I121" s="28" t="str">
        <f>CONCATENATE(SUMIF($D$6:$D121,D121,$E$6:$E$370)," / ",SUMIF($D$6:$D$370,D121,$E$6:$E$370))</f>
        <v>213 / 213</v>
      </c>
      <c r="J121" s="28" t="str">
        <f>CONCATENATE(SUM($E$6:$E121)," / ",SUM($E$6:$E$370))</f>
        <v>899 / 2271</v>
      </c>
      <c r="K121" s="24" t="s">
        <v>427</v>
      </c>
      <c r="L121" s="28" t="str">
        <f>CONCATENATE(SUMIF($C$6:$C121,C121,$G$6:$G$370)," / ",SUMIF($C$6:$C$370,C121,$G$6:$G$370))</f>
        <v>0 / 0</v>
      </c>
      <c r="M121" s="28" t="str">
        <f>CONCATENATE(SUMIF($D$6:$D121,D121,$G$6:$G$370)," / ",SUMIF($D$6:$D$370,D121,$G$6:$G$370))</f>
        <v>100 / 100</v>
      </c>
      <c r="N121" s="28" t="str">
        <f>CONCATENATE(SUM($G$6:$G121)," / ",SUM($G$6:$G$370))</f>
        <v>100 / 2244,5</v>
      </c>
      <c r="O121" s="24"/>
      <c r="P121" s="224">
        <v>0</v>
      </c>
      <c r="Q121" s="28" t="str">
        <f>CONCATENATE(SUMIF($C$6:$C121,C121,$P$6:$P$370)," / ",SUMIF($C$6:$C$370,C121,$P$6:$P$370))</f>
        <v>0 / 0</v>
      </c>
      <c r="R121" s="28" t="str">
        <f>CONCATENATE(SUMIF($D$6:$D121,$D121,$P$6:$P$370)," / ",SUMIF($D$6:$D$370,$D121,$P$6:$P$370))</f>
        <v>0 / 0</v>
      </c>
      <c r="S121" s="28" t="str">
        <f>CONCATENATE(SUM($P$6:$P121)," / ",SUM($P$6:$P$370))</f>
        <v>0 / 30850</v>
      </c>
    </row>
    <row r="122" spans="2:19" ht="13" thickBot="1">
      <c r="B122" s="238">
        <f t="shared" si="6"/>
        <v>42156</v>
      </c>
      <c r="C122" s="124">
        <f t="shared" si="5"/>
        <v>23</v>
      </c>
      <c r="D122" s="124">
        <f t="shared" si="7"/>
        <v>6</v>
      </c>
      <c r="E122" s="28">
        <v>17</v>
      </c>
      <c r="F122" s="27" t="s">
        <v>470</v>
      </c>
      <c r="G122" s="124"/>
      <c r="H122" s="28" t="str">
        <f>CONCATENATE(SUMIF($C$6:$C122,C122,$E$6:$E$370)," / ",SUMIF($C$6:$C$370,C122,$E$6:$E$370))</f>
        <v>23 / 50</v>
      </c>
      <c r="I122" s="28" t="str">
        <f>CONCATENATE(SUMIF($D$6:$D122,D122,$E$6:$E$370)," / ",SUMIF($D$6:$D$370,D122,$E$6:$E$370))</f>
        <v>17 / 165</v>
      </c>
      <c r="J122" s="28" t="str">
        <f>CONCATENATE(SUM($E$6:$E122)," / ",SUM($E$6:$E$370))</f>
        <v>916 / 2271</v>
      </c>
      <c r="K122" s="24" t="s">
        <v>427</v>
      </c>
      <c r="L122" s="28" t="str">
        <f>CONCATENATE(SUMIF($C$6:$C122,C122,$G$6:$G$370)," / ",SUMIF($C$6:$C$370,C122,$G$6:$G$370))</f>
        <v>0 / 0</v>
      </c>
      <c r="M122" s="28" t="str">
        <f>CONCATENATE(SUMIF($D$6:$D122,D122,$G$6:$G$370)," / ",SUMIF($D$6:$D$370,D122,$G$6:$G$370))</f>
        <v>0 / 352</v>
      </c>
      <c r="N122" s="28" t="str">
        <f>CONCATENATE(SUM($G$6:$G122)," / ",SUM($G$6:$G$370))</f>
        <v>100 / 2244,5</v>
      </c>
      <c r="O122" s="24"/>
      <c r="P122" s="224">
        <v>0</v>
      </c>
      <c r="Q122" s="28" t="str">
        <f>CONCATENATE(SUMIF($C$6:$C122,C122,$P$6:$P$370)," / ",SUMIF($C$6:$C$370,C122,$P$6:$P$370))</f>
        <v>0 / 0</v>
      </c>
      <c r="R122" s="28" t="str">
        <f>CONCATENATE(SUMIF($D$6:$D122,$D122,$P$6:$P$370)," / ",SUMIF($D$6:$D$370,$D122,$P$6:$P$370))</f>
        <v>0 / 0</v>
      </c>
      <c r="S122" s="28" t="str">
        <f>CONCATENATE(SUM($P$6:$P122)," / ",SUM($P$6:$P$370))</f>
        <v>0 / 30850</v>
      </c>
    </row>
    <row r="123" spans="2:19" ht="13" thickBot="1">
      <c r="B123" s="238">
        <f t="shared" si="6"/>
        <v>42157</v>
      </c>
      <c r="C123" s="124">
        <f t="shared" si="5"/>
        <v>23</v>
      </c>
      <c r="D123" s="124">
        <f t="shared" si="7"/>
        <v>6</v>
      </c>
      <c r="E123" s="28">
        <v>0</v>
      </c>
      <c r="F123" s="192"/>
      <c r="G123" s="124"/>
      <c r="H123" s="28" t="str">
        <f>CONCATENATE(SUMIF($C$6:$C123,C123,$E$6:$E$370)," / ",SUMIF($C$6:$C$370,C123,$E$6:$E$370))</f>
        <v>23 / 50</v>
      </c>
      <c r="I123" s="28" t="str">
        <f>CONCATENATE(SUMIF($D$6:$D123,D123,$E$6:$E$370)," / ",SUMIF($D$6:$D$370,D123,$E$6:$E$370))</f>
        <v>17 / 165</v>
      </c>
      <c r="J123" s="28" t="str">
        <f>CONCATENATE(SUM($E$6:$E123)," / ",SUM($E$6:$E$370))</f>
        <v>916 / 2271</v>
      </c>
      <c r="K123" s="24"/>
      <c r="L123" s="28" t="str">
        <f>CONCATENATE(SUMIF($C$6:$C123,C123,$G$6:$G$370)," / ",SUMIF($C$6:$C$370,C123,$G$6:$G$370))</f>
        <v>0 / 0</v>
      </c>
      <c r="M123" s="28" t="str">
        <f>CONCATENATE(SUMIF($D$6:$D123,D123,$G$6:$G$370)," / ",SUMIF($D$6:$D$370,D123,$G$6:$G$370))</f>
        <v>0 / 352</v>
      </c>
      <c r="N123" s="28" t="str">
        <f>CONCATENATE(SUM($G$6:$G123)," / ",SUM($G$6:$G$370))</f>
        <v>100 / 2244,5</v>
      </c>
      <c r="O123" s="24"/>
      <c r="P123" s="224">
        <v>0</v>
      </c>
      <c r="Q123" s="28" t="str">
        <f>CONCATENATE(SUMIF($C$6:$C123,C123,$P$6:$P$370)," / ",SUMIF($C$6:$C$370,C123,$P$6:$P$370))</f>
        <v>0 / 0</v>
      </c>
      <c r="R123" s="28" t="str">
        <f>CONCATENATE(SUMIF($D$6:$D123,$D123,$P$6:$P$370)," / ",SUMIF($D$6:$D$370,$D123,$P$6:$P$370))</f>
        <v>0 / 0</v>
      </c>
      <c r="S123" s="28" t="str">
        <f>CONCATENATE(SUM($P$6:$P123)," / ",SUM($P$6:$P$370))</f>
        <v>0 / 30850</v>
      </c>
    </row>
    <row r="124" spans="2:19" ht="13" thickBot="1">
      <c r="B124" s="238">
        <f t="shared" si="6"/>
        <v>42158</v>
      </c>
      <c r="C124" s="124">
        <f t="shared" si="5"/>
        <v>23</v>
      </c>
      <c r="D124" s="124">
        <f t="shared" si="7"/>
        <v>6</v>
      </c>
      <c r="E124" s="28">
        <v>0</v>
      </c>
      <c r="F124" s="192"/>
      <c r="G124" s="124"/>
      <c r="H124" s="28" t="str">
        <f>CONCATENATE(SUMIF($C$6:$C124,C124,$E$6:$E$370)," / ",SUMIF($C$6:$C$370,C124,$E$6:$E$370))</f>
        <v>23 / 50</v>
      </c>
      <c r="I124" s="28" t="str">
        <f>CONCATENATE(SUMIF($D$6:$D124,D124,$E$6:$E$370)," / ",SUMIF($D$6:$D$370,D124,$E$6:$E$370))</f>
        <v>17 / 165</v>
      </c>
      <c r="J124" s="28" t="str">
        <f>CONCATENATE(SUM($E$6:$E124)," / ",SUM($E$6:$E$370))</f>
        <v>916 / 2271</v>
      </c>
      <c r="K124" s="24"/>
      <c r="L124" s="28" t="str">
        <f>CONCATENATE(SUMIF($C$6:$C124,C124,$G$6:$G$370)," / ",SUMIF($C$6:$C$370,C124,$G$6:$G$370))</f>
        <v>0 / 0</v>
      </c>
      <c r="M124" s="28" t="str">
        <f>CONCATENATE(SUMIF($D$6:$D124,D124,$G$6:$G$370)," / ",SUMIF($D$6:$D$370,D124,$G$6:$G$370))</f>
        <v>0 / 352</v>
      </c>
      <c r="N124" s="28" t="str">
        <f>CONCATENATE(SUM($G$6:$G124)," / ",SUM($G$6:$G$370))</f>
        <v>100 / 2244,5</v>
      </c>
      <c r="O124" s="24"/>
      <c r="P124" s="224">
        <v>0</v>
      </c>
      <c r="Q124" s="28" t="str">
        <f>CONCATENATE(SUMIF($C$6:$C124,C124,$P$6:$P$370)," / ",SUMIF($C$6:$C$370,C124,$P$6:$P$370))</f>
        <v>0 / 0</v>
      </c>
      <c r="R124" s="28" t="str">
        <f>CONCATENATE(SUMIF($D$6:$D124,$D124,$P$6:$P$370)," / ",SUMIF($D$6:$D$370,$D124,$P$6:$P$370))</f>
        <v>0 / 0</v>
      </c>
      <c r="S124" s="28" t="str">
        <f>CONCATENATE(SUM($P$6:$P124)," / ",SUM($P$6:$P$370))</f>
        <v>0 / 30850</v>
      </c>
    </row>
    <row r="125" spans="2:19" ht="13" thickBot="1">
      <c r="B125" s="238">
        <f t="shared" si="6"/>
        <v>42159</v>
      </c>
      <c r="C125" s="124">
        <f t="shared" si="5"/>
        <v>23</v>
      </c>
      <c r="D125" s="124">
        <f t="shared" si="7"/>
        <v>6</v>
      </c>
      <c r="E125" s="28">
        <v>13</v>
      </c>
      <c r="F125" s="27" t="s">
        <v>471</v>
      </c>
      <c r="G125" s="124"/>
      <c r="H125" s="28" t="str">
        <f>CONCATENATE(SUMIF($C$6:$C125,C125,$E$6:$E$370)," / ",SUMIF($C$6:$C$370,C125,$E$6:$E$370))</f>
        <v>36 / 50</v>
      </c>
      <c r="I125" s="28" t="str">
        <f>CONCATENATE(SUMIF($D$6:$D125,D125,$E$6:$E$370)," / ",SUMIF($D$6:$D$370,D125,$E$6:$E$370))</f>
        <v>30 / 165</v>
      </c>
      <c r="J125" s="28" t="str">
        <f>CONCATENATE(SUM($E$6:$E125)," / ",SUM($E$6:$E$370))</f>
        <v>929 / 2271</v>
      </c>
      <c r="K125" s="24" t="s">
        <v>427</v>
      </c>
      <c r="L125" s="28" t="str">
        <f>CONCATENATE(SUMIF($C$6:$C125,C125,$G$6:$G$370)," / ",SUMIF($C$6:$C$370,C125,$G$6:$G$370))</f>
        <v>0 / 0</v>
      </c>
      <c r="M125" s="28" t="str">
        <f>CONCATENATE(SUMIF($D$6:$D125,D125,$G$6:$G$370)," / ",SUMIF($D$6:$D$370,D125,$G$6:$G$370))</f>
        <v>0 / 352</v>
      </c>
      <c r="N125" s="28" t="str">
        <f>CONCATENATE(SUM($G$6:$G125)," / ",SUM($G$6:$G$370))</f>
        <v>100 / 2244,5</v>
      </c>
      <c r="O125" s="24"/>
      <c r="P125" s="224">
        <v>0</v>
      </c>
      <c r="Q125" s="28" t="str">
        <f>CONCATENATE(SUMIF($C$6:$C125,C125,$P$6:$P$370)," / ",SUMIF($C$6:$C$370,C125,$P$6:$P$370))</f>
        <v>0 / 0</v>
      </c>
      <c r="R125" s="28" t="str">
        <f>CONCATENATE(SUMIF($D$6:$D125,$D125,$P$6:$P$370)," / ",SUMIF($D$6:$D$370,$D125,$P$6:$P$370))</f>
        <v>0 / 0</v>
      </c>
      <c r="S125" s="28" t="str">
        <f>CONCATENATE(SUM($P$6:$P125)," / ",SUM($P$6:$P$370))</f>
        <v>0 / 30850</v>
      </c>
    </row>
    <row r="126" spans="2:19" ht="13" thickBot="1">
      <c r="B126" s="238">
        <f t="shared" si="6"/>
        <v>42160</v>
      </c>
      <c r="C126" s="124">
        <f t="shared" si="5"/>
        <v>23</v>
      </c>
      <c r="D126" s="124">
        <f t="shared" si="7"/>
        <v>6</v>
      </c>
      <c r="E126" s="28">
        <v>0</v>
      </c>
      <c r="F126" s="192"/>
      <c r="G126" s="124"/>
      <c r="H126" s="28" t="str">
        <f>CONCATENATE(SUMIF($C$6:$C126,C126,$E$6:$E$370)," / ",SUMIF($C$6:$C$370,C126,$E$6:$E$370))</f>
        <v>36 / 50</v>
      </c>
      <c r="I126" s="28" t="str">
        <f>CONCATENATE(SUMIF($D$6:$D126,D126,$E$6:$E$370)," / ",SUMIF($D$6:$D$370,D126,$E$6:$E$370))</f>
        <v>30 / 165</v>
      </c>
      <c r="J126" s="28" t="str">
        <f>CONCATENATE(SUM($E$6:$E126)," / ",SUM($E$6:$E$370))</f>
        <v>929 / 2271</v>
      </c>
      <c r="K126" s="24"/>
      <c r="L126" s="28" t="str">
        <f>CONCATENATE(SUMIF($C$6:$C126,C126,$G$6:$G$370)," / ",SUMIF($C$6:$C$370,C126,$G$6:$G$370))</f>
        <v>0 / 0</v>
      </c>
      <c r="M126" s="28" t="str">
        <f>CONCATENATE(SUMIF($D$6:$D126,D126,$G$6:$G$370)," / ",SUMIF($D$6:$D$370,D126,$G$6:$G$370))</f>
        <v>0 / 352</v>
      </c>
      <c r="N126" s="28" t="str">
        <f>CONCATENATE(SUM($G$6:$G126)," / ",SUM($G$6:$G$370))</f>
        <v>100 / 2244,5</v>
      </c>
      <c r="O126" s="24"/>
      <c r="P126" s="224">
        <v>0</v>
      </c>
      <c r="Q126" s="28" t="str">
        <f>CONCATENATE(SUMIF($C$6:$C126,C126,$P$6:$P$370)," / ",SUMIF($C$6:$C$370,C126,$P$6:$P$370))</f>
        <v>0 / 0</v>
      </c>
      <c r="R126" s="28" t="str">
        <f>CONCATENATE(SUMIF($D$6:$D126,$D126,$P$6:$P$370)," / ",SUMIF($D$6:$D$370,$D126,$P$6:$P$370))</f>
        <v>0 / 0</v>
      </c>
      <c r="S126" s="28" t="str">
        <f>CONCATENATE(SUM($P$6:$P126)," / ",SUM($P$6:$P$370))</f>
        <v>0 / 30850</v>
      </c>
    </row>
    <row r="127" spans="2:19" ht="13" thickBot="1">
      <c r="B127" s="238">
        <f t="shared" si="6"/>
        <v>42161</v>
      </c>
      <c r="C127" s="124">
        <f t="shared" si="5"/>
        <v>23</v>
      </c>
      <c r="D127" s="124">
        <f t="shared" si="7"/>
        <v>6</v>
      </c>
      <c r="E127" s="28">
        <v>14</v>
      </c>
      <c r="F127" s="27" t="s">
        <v>472</v>
      </c>
      <c r="G127" s="124"/>
      <c r="H127" s="28" t="str">
        <f>CONCATENATE(SUMIF($C$6:$C127,C127,$E$6:$E$370)," / ",SUMIF($C$6:$C$370,C127,$E$6:$E$370))</f>
        <v>50 / 50</v>
      </c>
      <c r="I127" s="28" t="str">
        <f>CONCATENATE(SUMIF($D$6:$D127,D127,$E$6:$E$370)," / ",SUMIF($D$6:$D$370,D127,$E$6:$E$370))</f>
        <v>44 / 165</v>
      </c>
      <c r="J127" s="28" t="str">
        <f>CONCATENATE(SUM($E$6:$E127)," / ",SUM($E$6:$E$370))</f>
        <v>943 / 2271</v>
      </c>
      <c r="K127" s="24" t="s">
        <v>427</v>
      </c>
      <c r="L127" s="28" t="str">
        <f>CONCATENATE(SUMIF($C$6:$C127,C127,$G$6:$G$370)," / ",SUMIF($C$6:$C$370,C127,$G$6:$G$370))</f>
        <v>0 / 0</v>
      </c>
      <c r="M127" s="28" t="str">
        <f>CONCATENATE(SUMIF($D$6:$D127,D127,$G$6:$G$370)," / ",SUMIF($D$6:$D$370,D127,$G$6:$G$370))</f>
        <v>0 / 352</v>
      </c>
      <c r="N127" s="28" t="str">
        <f>CONCATENATE(SUM($G$6:$G127)," / ",SUM($G$6:$G$370))</f>
        <v>100 / 2244,5</v>
      </c>
      <c r="O127" s="24"/>
      <c r="P127" s="224">
        <v>0</v>
      </c>
      <c r="Q127" s="28" t="str">
        <f>CONCATENATE(SUMIF($C$6:$C127,C127,$P$6:$P$370)," / ",SUMIF($C$6:$C$370,C127,$P$6:$P$370))</f>
        <v>0 / 0</v>
      </c>
      <c r="R127" s="28" t="str">
        <f>CONCATENATE(SUMIF($D$6:$D127,$D127,$P$6:$P$370)," / ",SUMIF($D$6:$D$370,$D127,$P$6:$P$370))</f>
        <v>0 / 0</v>
      </c>
      <c r="S127" s="28" t="str">
        <f>CONCATENATE(SUM($P$6:$P127)," / ",SUM($P$6:$P$370))</f>
        <v>0 / 30850</v>
      </c>
    </row>
    <row r="128" spans="2:19" ht="13" thickBot="1">
      <c r="B128" s="238">
        <f t="shared" si="6"/>
        <v>42162</v>
      </c>
      <c r="C128" s="124">
        <f t="shared" si="5"/>
        <v>24</v>
      </c>
      <c r="D128" s="124">
        <f t="shared" si="7"/>
        <v>6</v>
      </c>
      <c r="E128" s="28">
        <v>0</v>
      </c>
      <c r="F128" s="192"/>
      <c r="G128" s="124"/>
      <c r="H128" s="28" t="str">
        <f>CONCATENATE(SUMIF($C$6:$C128,C128,$E$6:$E$370)," / ",SUMIF($C$6:$C$370,C128,$E$6:$E$370))</f>
        <v>0 / 54</v>
      </c>
      <c r="I128" s="28" t="str">
        <f>CONCATENATE(SUMIF($D$6:$D128,D128,$E$6:$E$370)," / ",SUMIF($D$6:$D$370,D128,$E$6:$E$370))</f>
        <v>44 / 165</v>
      </c>
      <c r="J128" s="28" t="str">
        <f>CONCATENATE(SUM($E$6:$E128)," / ",SUM($E$6:$E$370))</f>
        <v>943 / 2271</v>
      </c>
      <c r="K128" s="24"/>
      <c r="L128" s="28" t="str">
        <f>CONCATENATE(SUMIF($C$6:$C128,C128,$G$6:$G$370)," / ",SUMIF($C$6:$C$370,C128,$G$6:$G$370))</f>
        <v>0 / 0</v>
      </c>
      <c r="M128" s="28" t="str">
        <f>CONCATENATE(SUMIF($D$6:$D128,D128,$G$6:$G$370)," / ",SUMIF($D$6:$D$370,D128,$G$6:$G$370))</f>
        <v>0 / 352</v>
      </c>
      <c r="N128" s="28" t="str">
        <f>CONCATENATE(SUM($G$6:$G128)," / ",SUM($G$6:$G$370))</f>
        <v>100 / 2244,5</v>
      </c>
      <c r="O128" s="24"/>
      <c r="P128" s="224">
        <v>0</v>
      </c>
      <c r="Q128" s="28" t="str">
        <f>CONCATENATE(SUMIF($C$6:$C128,C128,$P$6:$P$370)," / ",SUMIF($C$6:$C$370,C128,$P$6:$P$370))</f>
        <v>0 / 0</v>
      </c>
      <c r="R128" s="28" t="str">
        <f>CONCATENATE(SUMIF($D$6:$D128,$D128,$P$6:$P$370)," / ",SUMIF($D$6:$D$370,$D128,$P$6:$P$370))</f>
        <v>0 / 0</v>
      </c>
      <c r="S128" s="28" t="str">
        <f>CONCATENATE(SUM($P$6:$P128)," / ",SUM($P$6:$P$370))</f>
        <v>0 / 30850</v>
      </c>
    </row>
    <row r="129" spans="2:19" ht="13" thickBot="1">
      <c r="B129" s="238">
        <f t="shared" si="6"/>
        <v>42163</v>
      </c>
      <c r="C129" s="124">
        <f t="shared" si="5"/>
        <v>24</v>
      </c>
      <c r="D129" s="124">
        <f t="shared" si="7"/>
        <v>6</v>
      </c>
      <c r="E129" s="28">
        <v>8</v>
      </c>
      <c r="F129" s="27" t="s">
        <v>474</v>
      </c>
      <c r="G129" s="124"/>
      <c r="H129" s="28" t="str">
        <f>CONCATENATE(SUMIF($C$6:$C129,C129,$E$6:$E$370)," / ",SUMIF($C$6:$C$370,C129,$E$6:$E$370))</f>
        <v>8 / 54</v>
      </c>
      <c r="I129" s="28" t="str">
        <f>CONCATENATE(SUMIF($D$6:$D129,D129,$E$6:$E$370)," / ",SUMIF($D$6:$D$370,D129,$E$6:$E$370))</f>
        <v>52 / 165</v>
      </c>
      <c r="J129" s="28" t="str">
        <f>CONCATENATE(SUM($E$6:$E129)," / ",SUM($E$6:$E$370))</f>
        <v>951 / 2271</v>
      </c>
      <c r="K129" s="24" t="s">
        <v>380</v>
      </c>
      <c r="L129" s="28" t="str">
        <f>CONCATENATE(SUMIF($C$6:$C129,C129,$G$6:$G$370)," / ",SUMIF($C$6:$C$370,C129,$G$6:$G$370))</f>
        <v>0 / 0</v>
      </c>
      <c r="M129" s="28" t="str">
        <f>CONCATENATE(SUMIF($D$6:$D129,D129,$G$6:$G$370)," / ",SUMIF($D$6:$D$370,D129,$G$6:$G$370))</f>
        <v>0 / 352</v>
      </c>
      <c r="N129" s="28" t="str">
        <f>CONCATENATE(SUM($G$6:$G129)," / ",SUM($G$6:$G$370))</f>
        <v>100 / 2244,5</v>
      </c>
      <c r="O129" s="24"/>
      <c r="P129" s="224">
        <v>0</v>
      </c>
      <c r="Q129" s="28" t="str">
        <f>CONCATENATE(SUMIF($C$6:$C129,C129,$P$6:$P$370)," / ",SUMIF($C$6:$C$370,C129,$P$6:$P$370))</f>
        <v>0 / 0</v>
      </c>
      <c r="R129" s="28" t="str">
        <f>CONCATENATE(SUMIF($D$6:$D129,$D129,$P$6:$P$370)," / ",SUMIF($D$6:$D$370,$D129,$P$6:$P$370))</f>
        <v>0 / 0</v>
      </c>
      <c r="S129" s="28" t="str">
        <f>CONCATENATE(SUM($P$6:$P129)," / ",SUM($P$6:$P$370))</f>
        <v>0 / 30850</v>
      </c>
    </row>
    <row r="130" spans="2:19" ht="13" thickBot="1">
      <c r="B130" s="238">
        <f t="shared" si="6"/>
        <v>42164</v>
      </c>
      <c r="C130" s="124">
        <f t="shared" si="5"/>
        <v>24</v>
      </c>
      <c r="D130" s="124">
        <f t="shared" si="7"/>
        <v>6</v>
      </c>
      <c r="E130" s="28">
        <v>7</v>
      </c>
      <c r="F130" s="27" t="s">
        <v>471</v>
      </c>
      <c r="G130" s="124"/>
      <c r="H130" s="28" t="str">
        <f>CONCATENATE(SUMIF($C$6:$C130,C130,$E$6:$E$370)," / ",SUMIF($C$6:$C$370,C130,$E$6:$E$370))</f>
        <v>15 / 54</v>
      </c>
      <c r="I130" s="28" t="str">
        <f>CONCATENATE(SUMIF($D$6:$D130,D130,$E$6:$E$370)," / ",SUMIF($D$6:$D$370,D130,$E$6:$E$370))</f>
        <v>59 / 165</v>
      </c>
      <c r="J130" s="28" t="str">
        <f>CONCATENATE(SUM($E$6:$E130)," / ",SUM($E$6:$E$370))</f>
        <v>958 / 2271</v>
      </c>
      <c r="K130" s="24" t="s">
        <v>380</v>
      </c>
      <c r="L130" s="28" t="str">
        <f>CONCATENATE(SUMIF($C$6:$C130,C130,$G$6:$G$370)," / ",SUMIF($C$6:$C$370,C130,$G$6:$G$370))</f>
        <v>0 / 0</v>
      </c>
      <c r="M130" s="28" t="str">
        <f>CONCATENATE(SUMIF($D$6:$D130,D130,$G$6:$G$370)," / ",SUMIF($D$6:$D$370,D130,$G$6:$G$370))</f>
        <v>0 / 352</v>
      </c>
      <c r="N130" s="28" t="str">
        <f>CONCATENATE(SUM($G$6:$G130)," / ",SUM($G$6:$G$370))</f>
        <v>100 / 2244,5</v>
      </c>
      <c r="O130" s="24"/>
      <c r="P130" s="224">
        <v>0</v>
      </c>
      <c r="Q130" s="28" t="str">
        <f>CONCATENATE(SUMIF($C$6:$C130,C130,$P$6:$P$370)," / ",SUMIF($C$6:$C$370,C130,$P$6:$P$370))</f>
        <v>0 / 0</v>
      </c>
      <c r="R130" s="28" t="str">
        <f>CONCATENATE(SUMIF($D$6:$D130,$D130,$P$6:$P$370)," / ",SUMIF($D$6:$D$370,$D130,$P$6:$P$370))</f>
        <v>0 / 0</v>
      </c>
      <c r="S130" s="28" t="str">
        <f>CONCATENATE(SUM($P$6:$P130)," / ",SUM($P$6:$P$370))</f>
        <v>0 / 30850</v>
      </c>
    </row>
    <row r="131" spans="2:19" ht="13" thickBot="1">
      <c r="B131" s="238">
        <f t="shared" si="6"/>
        <v>42165</v>
      </c>
      <c r="C131" s="124">
        <f t="shared" si="5"/>
        <v>24</v>
      </c>
      <c r="D131" s="124">
        <f t="shared" si="7"/>
        <v>6</v>
      </c>
      <c r="E131" s="28">
        <v>10</v>
      </c>
      <c r="F131" s="27" t="s">
        <v>476</v>
      </c>
      <c r="G131" s="124"/>
      <c r="H131" s="28" t="str">
        <f>CONCATENATE(SUMIF($C$6:$C131,C131,$E$6:$E$370)," / ",SUMIF($C$6:$C$370,C131,$E$6:$E$370))</f>
        <v>25 / 54</v>
      </c>
      <c r="I131" s="28" t="str">
        <f>CONCATENATE(SUMIF($D$6:$D131,D131,$E$6:$E$370)," / ",SUMIF($D$6:$D$370,D131,$E$6:$E$370))</f>
        <v>69 / 165</v>
      </c>
      <c r="J131" s="28" t="str">
        <f>CONCATENATE(SUM($E$6:$E131)," / ",SUM($E$6:$E$370))</f>
        <v>968 / 2271</v>
      </c>
      <c r="K131" s="24" t="s">
        <v>380</v>
      </c>
      <c r="L131" s="28" t="str">
        <f>CONCATENATE(SUMIF($C$6:$C131,C131,$G$6:$G$370)," / ",SUMIF($C$6:$C$370,C131,$G$6:$G$370))</f>
        <v>0 / 0</v>
      </c>
      <c r="M131" s="28" t="str">
        <f>CONCATENATE(SUMIF($D$6:$D131,D131,$G$6:$G$370)," / ",SUMIF($D$6:$D$370,D131,$G$6:$G$370))</f>
        <v>0 / 352</v>
      </c>
      <c r="N131" s="28" t="str">
        <f>CONCATENATE(SUM($G$6:$G131)," / ",SUM($G$6:$G$370))</f>
        <v>100 / 2244,5</v>
      </c>
      <c r="O131" s="24"/>
      <c r="P131" s="224">
        <v>0</v>
      </c>
      <c r="Q131" s="28" t="str">
        <f>CONCATENATE(SUMIF($C$6:$C131,C131,$P$6:$P$370)," / ",SUMIF($C$6:$C$370,C131,$P$6:$P$370))</f>
        <v>0 / 0</v>
      </c>
      <c r="R131" s="28" t="str">
        <f>CONCATENATE(SUMIF($D$6:$D131,$D131,$P$6:$P$370)," / ",SUMIF($D$6:$D$370,$D131,$P$6:$P$370))</f>
        <v>0 / 0</v>
      </c>
      <c r="S131" s="28" t="str">
        <f>CONCATENATE(SUM($P$6:$P131)," / ",SUM($P$6:$P$370))</f>
        <v>0 / 30850</v>
      </c>
    </row>
    <row r="132" spans="2:19" ht="13" thickBot="1">
      <c r="B132" s="238">
        <f t="shared" si="6"/>
        <v>42166</v>
      </c>
      <c r="C132" s="124">
        <f t="shared" si="5"/>
        <v>24</v>
      </c>
      <c r="D132" s="124">
        <f t="shared" si="7"/>
        <v>6</v>
      </c>
      <c r="E132" s="28">
        <v>12</v>
      </c>
      <c r="F132" s="27" t="s">
        <v>479</v>
      </c>
      <c r="G132" s="124"/>
      <c r="H132" s="28" t="str">
        <f>CONCATENATE(SUMIF($C$6:$C132,C132,$E$6:$E$370)," / ",SUMIF($C$6:$C$370,C132,$E$6:$E$370))</f>
        <v>37 / 54</v>
      </c>
      <c r="I132" s="28" t="str">
        <f>CONCATENATE(SUMIF($D$6:$D132,D132,$E$6:$E$370)," / ",SUMIF($D$6:$D$370,D132,$E$6:$E$370))</f>
        <v>81 / 165</v>
      </c>
      <c r="J132" s="28" t="str">
        <f>CONCATENATE(SUM($E$6:$E132)," / ",SUM($E$6:$E$370))</f>
        <v>980 / 2271</v>
      </c>
      <c r="K132" s="24" t="s">
        <v>477</v>
      </c>
      <c r="L132" s="28" t="str">
        <f>CONCATENATE(SUMIF($C$6:$C132,C132,$G$6:$G$370)," / ",SUMIF($C$6:$C$370,C132,$G$6:$G$370))</f>
        <v>0 / 0</v>
      </c>
      <c r="M132" s="28" t="str">
        <f>CONCATENATE(SUMIF($D$6:$D132,D132,$G$6:$G$370)," / ",SUMIF($D$6:$D$370,D132,$G$6:$G$370))</f>
        <v>0 / 352</v>
      </c>
      <c r="N132" s="28" t="str">
        <f>CONCATENATE(SUM($G$6:$G132)," / ",SUM($G$6:$G$370))</f>
        <v>100 / 2244,5</v>
      </c>
      <c r="O132" s="24"/>
      <c r="P132" s="224">
        <v>0</v>
      </c>
      <c r="Q132" s="28" t="str">
        <f>CONCATENATE(SUMIF($C$6:$C132,C132,$P$6:$P$370)," / ",SUMIF($C$6:$C$370,C132,$P$6:$P$370))</f>
        <v>0 / 0</v>
      </c>
      <c r="R132" s="28" t="str">
        <f>CONCATENATE(SUMIF($D$6:$D132,$D132,$P$6:$P$370)," / ",SUMIF($D$6:$D$370,$D132,$P$6:$P$370))</f>
        <v>0 / 0</v>
      </c>
      <c r="S132" s="28" t="str">
        <f>CONCATENATE(SUM($P$6:$P132)," / ",SUM($P$6:$P$370))</f>
        <v>0 / 30850</v>
      </c>
    </row>
    <row r="133" spans="2:19" ht="13" thickBot="1">
      <c r="B133" s="238">
        <f t="shared" si="6"/>
        <v>42167</v>
      </c>
      <c r="C133" s="124">
        <f t="shared" si="5"/>
        <v>24</v>
      </c>
      <c r="D133" s="124">
        <f t="shared" si="7"/>
        <v>6</v>
      </c>
      <c r="E133" s="28">
        <v>0</v>
      </c>
      <c r="F133" s="192"/>
      <c r="G133" s="124"/>
      <c r="H133" s="28" t="str">
        <f>CONCATENATE(SUMIF($C$6:$C133,C133,$E$6:$E$370)," / ",SUMIF($C$6:$C$370,C133,$E$6:$E$370))</f>
        <v>37 / 54</v>
      </c>
      <c r="I133" s="28" t="str">
        <f>CONCATENATE(SUMIF($D$6:$D133,D133,$E$6:$E$370)," / ",SUMIF($D$6:$D$370,D133,$E$6:$E$370))</f>
        <v>81 / 165</v>
      </c>
      <c r="J133" s="28" t="str">
        <f>CONCATENATE(SUM($E$6:$E133)," / ",SUM($E$6:$E$370))</f>
        <v>980 / 2271</v>
      </c>
      <c r="K133" s="24"/>
      <c r="L133" s="28" t="str">
        <f>CONCATENATE(SUMIF($C$6:$C133,C133,$G$6:$G$370)," / ",SUMIF($C$6:$C$370,C133,$G$6:$G$370))</f>
        <v>0 / 0</v>
      </c>
      <c r="M133" s="28" t="str">
        <f>CONCATENATE(SUMIF($D$6:$D133,D133,$G$6:$G$370)," / ",SUMIF($D$6:$D$370,D133,$G$6:$G$370))</f>
        <v>0 / 352</v>
      </c>
      <c r="N133" s="28" t="str">
        <f>CONCATENATE(SUM($G$6:$G133)," / ",SUM($G$6:$G$370))</f>
        <v>100 / 2244,5</v>
      </c>
      <c r="O133" s="24"/>
      <c r="P133" s="224">
        <v>0</v>
      </c>
      <c r="Q133" s="28" t="str">
        <f>CONCATENATE(SUMIF($C$6:$C133,C133,$P$6:$P$370)," / ",SUMIF($C$6:$C$370,C133,$P$6:$P$370))</f>
        <v>0 / 0</v>
      </c>
      <c r="R133" s="28" t="str">
        <f>CONCATENATE(SUMIF($D$6:$D133,$D133,$P$6:$P$370)," / ",SUMIF($D$6:$D$370,$D133,$P$6:$P$370))</f>
        <v>0 / 0</v>
      </c>
      <c r="S133" s="28" t="str">
        <f>CONCATENATE(SUM($P$6:$P133)," / ",SUM($P$6:$P$370))</f>
        <v>0 / 30850</v>
      </c>
    </row>
    <row r="134" spans="2:19" ht="13" thickBot="1">
      <c r="B134" s="238">
        <f t="shared" si="6"/>
        <v>42168</v>
      </c>
      <c r="C134" s="124">
        <f t="shared" si="5"/>
        <v>24</v>
      </c>
      <c r="D134" s="124">
        <f t="shared" si="7"/>
        <v>6</v>
      </c>
      <c r="E134" s="28">
        <v>17</v>
      </c>
      <c r="F134" s="27" t="s">
        <v>483</v>
      </c>
      <c r="G134" s="124"/>
      <c r="H134" s="28" t="str">
        <f>CONCATENATE(SUMIF($C$6:$C134,C134,$E$6:$E$370)," / ",SUMIF($C$6:$C$370,C134,$E$6:$E$370))</f>
        <v>54 / 54</v>
      </c>
      <c r="I134" s="28" t="str">
        <f>CONCATENATE(SUMIF($D$6:$D134,D134,$E$6:$E$370)," / ",SUMIF($D$6:$D$370,D134,$E$6:$E$370))</f>
        <v>98 / 165</v>
      </c>
      <c r="J134" s="28" t="str">
        <f>CONCATENATE(SUM($E$6:$E134)," / ",SUM($E$6:$E$370))</f>
        <v>997 / 2271</v>
      </c>
      <c r="K134" s="24" t="s">
        <v>477</v>
      </c>
      <c r="L134" s="28" t="str">
        <f>CONCATENATE(SUMIF($C$6:$C134,C134,$G$6:$G$370)," / ",SUMIF($C$6:$C$370,C134,$G$6:$G$370))</f>
        <v>0 / 0</v>
      </c>
      <c r="M134" s="28" t="str">
        <f>CONCATENATE(SUMIF($D$6:$D134,D134,$G$6:$G$370)," / ",SUMIF($D$6:$D$370,D134,$G$6:$G$370))</f>
        <v>0 / 352</v>
      </c>
      <c r="N134" s="28" t="str">
        <f>CONCATENATE(SUM($G$6:$G134)," / ",SUM($G$6:$G$370))</f>
        <v>100 / 2244,5</v>
      </c>
      <c r="O134" s="24"/>
      <c r="P134" s="224">
        <v>0</v>
      </c>
      <c r="Q134" s="28" t="str">
        <f>CONCATENATE(SUMIF($C$6:$C134,C134,$P$6:$P$370)," / ",SUMIF($C$6:$C$370,C134,$P$6:$P$370))</f>
        <v>0 / 0</v>
      </c>
      <c r="R134" s="28" t="str">
        <f>CONCATENATE(SUMIF($D$6:$D134,$D134,$P$6:$P$370)," / ",SUMIF($D$6:$D$370,$D134,$P$6:$P$370))</f>
        <v>0 / 0</v>
      </c>
      <c r="S134" s="28" t="str">
        <f>CONCATENATE(SUM($P$6:$P134)," / ",SUM($P$6:$P$370))</f>
        <v>0 / 30850</v>
      </c>
    </row>
    <row r="135" spans="2:19" ht="13" thickBot="1">
      <c r="B135" s="238">
        <f t="shared" si="6"/>
        <v>42169</v>
      </c>
      <c r="C135" s="124">
        <f t="shared" ref="C135:C165" si="8">WEEKNUM($B135)</f>
        <v>25</v>
      </c>
      <c r="D135" s="124">
        <f t="shared" si="7"/>
        <v>6</v>
      </c>
      <c r="E135" s="28">
        <v>0</v>
      </c>
      <c r="F135" s="27" t="s">
        <v>481</v>
      </c>
      <c r="G135" s="124">
        <v>42</v>
      </c>
      <c r="H135" s="28" t="str">
        <f>CONCATENATE(SUMIF($C$6:$C135,C135,$E$6:$E$370)," / ",SUMIF($C$6:$C$370,C135,$E$6:$E$370))</f>
        <v>0 / 9</v>
      </c>
      <c r="I135" s="28" t="str">
        <f>CONCATENATE(SUMIF($D$6:$D135,D135,$E$6:$E$370)," / ",SUMIF($D$6:$D$370,D135,$E$6:$E$370))</f>
        <v>98 / 165</v>
      </c>
      <c r="J135" s="28" t="str">
        <f>CONCATENATE(SUM($E$6:$E135)," / ",SUM($E$6:$E$370))</f>
        <v>997 / 2271</v>
      </c>
      <c r="K135" s="24"/>
      <c r="L135" s="28" t="str">
        <f>CONCATENATE(SUMIF($C$6:$C135,C135,$G$6:$G$370)," / ",SUMIF($C$6:$C$370,C135,$G$6:$G$370))</f>
        <v>42 / 102</v>
      </c>
      <c r="M135" s="28" t="str">
        <f>CONCATENATE(SUMIF($D$6:$D135,D135,$G$6:$G$370)," / ",SUMIF($D$6:$D$370,D135,$G$6:$G$370))</f>
        <v>42 / 352</v>
      </c>
      <c r="N135" s="28" t="str">
        <f>CONCATENATE(SUM($G$6:$G135)," / ",SUM($G$6:$G$370))</f>
        <v>142 / 2244,5</v>
      </c>
      <c r="O135" s="24" t="s">
        <v>489</v>
      </c>
      <c r="P135" s="224">
        <v>0</v>
      </c>
      <c r="Q135" s="28" t="str">
        <f>CONCATENATE(SUMIF($C$6:$C135,C135,$P$6:$P$370)," / ",SUMIF($C$6:$C$370,C135,$P$6:$P$370))</f>
        <v>0 / 0</v>
      </c>
      <c r="R135" s="28" t="str">
        <f>CONCATENATE(SUMIF($D$6:$D135,$D135,$P$6:$P$370)," / ",SUMIF($D$6:$D$370,$D135,$P$6:$P$370))</f>
        <v>0 / 0</v>
      </c>
      <c r="S135" s="28" t="str">
        <f>CONCATENATE(SUM($P$6:$P135)," / ",SUM($P$6:$P$370))</f>
        <v>0 / 30850</v>
      </c>
    </row>
    <row r="136" spans="2:19" ht="13" thickBot="1">
      <c r="B136" s="238">
        <f t="shared" ref="B136:B164" si="9">B135+1</f>
        <v>42170</v>
      </c>
      <c r="C136" s="124">
        <f t="shared" si="8"/>
        <v>25</v>
      </c>
      <c r="D136" s="124">
        <f t="shared" si="7"/>
        <v>6</v>
      </c>
      <c r="E136" s="28">
        <v>0</v>
      </c>
      <c r="F136" s="192"/>
      <c r="G136" s="124"/>
      <c r="H136" s="28" t="str">
        <f>CONCATENATE(SUMIF($C$6:$C136,C136,$E$6:$E$370)," / ",SUMIF($C$6:$C$370,C136,$E$6:$E$370))</f>
        <v>0 / 9</v>
      </c>
      <c r="I136" s="28" t="str">
        <f>CONCATENATE(SUMIF($D$6:$D136,D136,$E$6:$E$370)," / ",SUMIF($D$6:$D$370,D136,$E$6:$E$370))</f>
        <v>98 / 165</v>
      </c>
      <c r="J136" s="28" t="str">
        <f>CONCATENATE(SUM($E$6:$E136)," / ",SUM($E$6:$E$370))</f>
        <v>997 / 2271</v>
      </c>
      <c r="K136" s="24"/>
      <c r="L136" s="28" t="str">
        <f>CONCATENATE(SUMIF($C$6:$C136,C136,$G$6:$G$370)," / ",SUMIF($C$6:$C$370,C136,$G$6:$G$370))</f>
        <v>42 / 102</v>
      </c>
      <c r="M136" s="28" t="str">
        <f>CONCATENATE(SUMIF($D$6:$D136,D136,$G$6:$G$370)," / ",SUMIF($D$6:$D$370,D136,$G$6:$G$370))</f>
        <v>42 / 352</v>
      </c>
      <c r="N136" s="28" t="str">
        <f>CONCATENATE(SUM($G$6:$G136)," / ",SUM($G$6:$G$370))</f>
        <v>142 / 2244,5</v>
      </c>
      <c r="O136" s="24"/>
      <c r="P136" s="224">
        <v>0</v>
      </c>
      <c r="Q136" s="28" t="str">
        <f>CONCATENATE(SUMIF($C$6:$C136,C136,$P$6:$P$370)," / ",SUMIF($C$6:$C$370,C136,$P$6:$P$370))</f>
        <v>0 / 0</v>
      </c>
      <c r="R136" s="28" t="str">
        <f>CONCATENATE(SUMIF($D$6:$D136,$D136,$P$6:$P$370)," / ",SUMIF($D$6:$D$370,$D136,$P$6:$P$370))</f>
        <v>0 / 0</v>
      </c>
      <c r="S136" s="28" t="str">
        <f>CONCATENATE(SUM($P$6:$P136)," / ",SUM($P$6:$P$370))</f>
        <v>0 / 30850</v>
      </c>
    </row>
    <row r="137" spans="2:19" ht="13" thickBot="1">
      <c r="B137" s="238">
        <f t="shared" si="9"/>
        <v>42171</v>
      </c>
      <c r="C137" s="124">
        <f t="shared" si="8"/>
        <v>25</v>
      </c>
      <c r="D137" s="124">
        <f t="shared" si="7"/>
        <v>6</v>
      </c>
      <c r="E137" s="28">
        <v>0</v>
      </c>
      <c r="F137" s="27" t="s">
        <v>482</v>
      </c>
      <c r="G137" s="124">
        <v>30</v>
      </c>
      <c r="H137" s="28" t="str">
        <f>CONCATENATE(SUMIF($C$6:$C137,C137,$E$6:$E$370)," / ",SUMIF($C$6:$C$370,C137,$E$6:$E$370))</f>
        <v>0 / 9</v>
      </c>
      <c r="I137" s="28" t="str">
        <f>CONCATENATE(SUMIF($D$6:$D137,D137,$E$6:$E$370)," / ",SUMIF($D$6:$D$370,D137,$E$6:$E$370))</f>
        <v>98 / 165</v>
      </c>
      <c r="J137" s="28" t="str">
        <f>CONCATENATE(SUM($E$6:$E137)," / ",SUM($E$6:$E$370))</f>
        <v>997 / 2271</v>
      </c>
      <c r="K137" s="24"/>
      <c r="L137" s="28" t="str">
        <f>CONCATENATE(SUMIF($C$6:$C137,C137,$G$6:$G$370)," / ",SUMIF($C$6:$C$370,C137,$G$6:$G$370))</f>
        <v>72 / 102</v>
      </c>
      <c r="M137" s="28" t="str">
        <f>CONCATENATE(SUMIF($D$6:$D137,D137,$G$6:$G$370)," / ",SUMIF($D$6:$D$370,D137,$G$6:$G$370))</f>
        <v>72 / 352</v>
      </c>
      <c r="N137" s="28" t="str">
        <f>CONCATENATE(SUM($G$6:$G137)," / ",SUM($G$6:$G$370))</f>
        <v>172 / 2244,5</v>
      </c>
      <c r="O137" s="24" t="s">
        <v>489</v>
      </c>
      <c r="P137" s="224">
        <v>0</v>
      </c>
      <c r="Q137" s="28" t="str">
        <f>CONCATENATE(SUMIF($C$6:$C137,C137,$P$6:$P$370)," / ",SUMIF($C$6:$C$370,C137,$P$6:$P$370))</f>
        <v>0 / 0</v>
      </c>
      <c r="R137" s="28" t="str">
        <f>CONCATENATE(SUMIF($D$6:$D137,$D137,$P$6:$P$370)," / ",SUMIF($D$6:$D$370,$D137,$P$6:$P$370))</f>
        <v>0 / 0</v>
      </c>
      <c r="S137" s="28" t="str">
        <f>CONCATENATE(SUM($P$6:$P137)," / ",SUM($P$6:$P$370))</f>
        <v>0 / 30850</v>
      </c>
    </row>
    <row r="138" spans="2:19" ht="13" thickBot="1">
      <c r="B138" s="238">
        <f t="shared" si="9"/>
        <v>42172</v>
      </c>
      <c r="C138" s="124">
        <f t="shared" si="8"/>
        <v>25</v>
      </c>
      <c r="D138" s="124">
        <f t="shared" si="7"/>
        <v>6</v>
      </c>
      <c r="E138" s="28">
        <v>0</v>
      </c>
      <c r="F138" s="192"/>
      <c r="G138" s="124"/>
      <c r="H138" s="28" t="str">
        <f>CONCATENATE(SUMIF($C$6:$C138,C138,$E$6:$E$370)," / ",SUMIF($C$6:$C$370,C138,$E$6:$E$370))</f>
        <v>0 / 9</v>
      </c>
      <c r="I138" s="28" t="str">
        <f>CONCATENATE(SUMIF($D$6:$D138,D138,$E$6:$E$370)," / ",SUMIF($D$6:$D$370,D138,$E$6:$E$370))</f>
        <v>98 / 165</v>
      </c>
      <c r="J138" s="28" t="str">
        <f>CONCATENATE(SUM($E$6:$E138)," / ",SUM($E$6:$E$370))</f>
        <v>997 / 2271</v>
      </c>
      <c r="K138" s="24"/>
      <c r="L138" s="28" t="str">
        <f>CONCATENATE(SUMIF($C$6:$C138,C138,$G$6:$G$370)," / ",SUMIF($C$6:$C$370,C138,$G$6:$G$370))</f>
        <v>72 / 102</v>
      </c>
      <c r="M138" s="28" t="str">
        <f>CONCATENATE(SUMIF($D$6:$D138,D138,$G$6:$G$370)," / ",SUMIF($D$6:$D$370,D138,$G$6:$G$370))</f>
        <v>72 / 352</v>
      </c>
      <c r="N138" s="28" t="str">
        <f>CONCATENATE(SUM($G$6:$G138)," / ",SUM($G$6:$G$370))</f>
        <v>172 / 2244,5</v>
      </c>
      <c r="O138" s="24"/>
      <c r="P138" s="224">
        <v>0</v>
      </c>
      <c r="Q138" s="28" t="str">
        <f>CONCATENATE(SUMIF($C$6:$C138,C138,$P$6:$P$370)," / ",SUMIF($C$6:$C$370,C138,$P$6:$P$370))</f>
        <v>0 / 0</v>
      </c>
      <c r="R138" s="28" t="str">
        <f>CONCATENATE(SUMIF($D$6:$D138,$D138,$P$6:$P$370)," / ",SUMIF($D$6:$D$370,$D138,$P$6:$P$370))</f>
        <v>0 / 0</v>
      </c>
      <c r="S138" s="28" t="str">
        <f>CONCATENATE(SUM($P$6:$P138)," / ",SUM($P$6:$P$370))</f>
        <v>0 / 30850</v>
      </c>
    </row>
    <row r="139" spans="2:19" ht="13" thickBot="1">
      <c r="B139" s="238">
        <f t="shared" si="9"/>
        <v>42173</v>
      </c>
      <c r="C139" s="124">
        <f t="shared" si="8"/>
        <v>25</v>
      </c>
      <c r="D139" s="124">
        <f t="shared" si="7"/>
        <v>6</v>
      </c>
      <c r="E139" s="28">
        <v>0</v>
      </c>
      <c r="F139" s="192"/>
      <c r="G139" s="124"/>
      <c r="H139" s="28" t="str">
        <f>CONCATENATE(SUMIF($C$6:$C139,C139,$E$6:$E$370)," / ",SUMIF($C$6:$C$370,C139,$E$6:$E$370))</f>
        <v>0 / 9</v>
      </c>
      <c r="I139" s="28" t="str">
        <f>CONCATENATE(SUMIF($D$6:$D139,D139,$E$6:$E$370)," / ",SUMIF($D$6:$D$370,D139,$E$6:$E$370))</f>
        <v>98 / 165</v>
      </c>
      <c r="J139" s="28" t="str">
        <f>CONCATENATE(SUM($E$6:$E139)," / ",SUM($E$6:$E$370))</f>
        <v>997 / 2271</v>
      </c>
      <c r="K139" s="24"/>
      <c r="L139" s="28" t="str">
        <f>CONCATENATE(SUMIF($C$6:$C139,C139,$G$6:$G$370)," / ",SUMIF($C$6:$C$370,C139,$G$6:$G$370))</f>
        <v>72 / 102</v>
      </c>
      <c r="M139" s="28" t="str">
        <f>CONCATENATE(SUMIF($D$6:$D139,D139,$G$6:$G$370)," / ",SUMIF($D$6:$D$370,D139,$G$6:$G$370))</f>
        <v>72 / 352</v>
      </c>
      <c r="N139" s="28" t="str">
        <f>CONCATENATE(SUM($G$6:$G139)," / ",SUM($G$6:$G$370))</f>
        <v>172 / 2244,5</v>
      </c>
      <c r="O139" s="24"/>
      <c r="P139" s="224">
        <v>0</v>
      </c>
      <c r="Q139" s="28" t="str">
        <f>CONCATENATE(SUMIF($C$6:$C139,C139,$P$6:$P$370)," / ",SUMIF($C$6:$C$370,C139,$P$6:$P$370))</f>
        <v>0 / 0</v>
      </c>
      <c r="R139" s="28" t="str">
        <f>CONCATENATE(SUMIF($D$6:$D139,$D139,$P$6:$P$370)," / ",SUMIF($D$6:$D$370,$D139,$P$6:$P$370))</f>
        <v>0 / 0</v>
      </c>
      <c r="S139" s="28" t="str">
        <f>CONCATENATE(SUM($P$6:$P139)," / ",SUM($P$6:$P$370))</f>
        <v>0 / 30850</v>
      </c>
    </row>
    <row r="140" spans="2:19" ht="13" thickBot="1">
      <c r="B140" s="238">
        <f t="shared" si="9"/>
        <v>42174</v>
      </c>
      <c r="C140" s="124">
        <f t="shared" si="8"/>
        <v>25</v>
      </c>
      <c r="D140" s="124">
        <f t="shared" si="7"/>
        <v>6</v>
      </c>
      <c r="E140" s="28">
        <v>9</v>
      </c>
      <c r="F140" s="27" t="s">
        <v>480</v>
      </c>
      <c r="G140" s="124"/>
      <c r="H140" s="28" t="str">
        <f>CONCATENATE(SUMIF($C$6:$C140,C140,$E$6:$E$370)," / ",SUMIF($C$6:$C$370,C140,$E$6:$E$370))</f>
        <v>9 / 9</v>
      </c>
      <c r="I140" s="28" t="str">
        <f>CONCATENATE(SUMIF($D$6:$D140,D140,$E$6:$E$370)," / ",SUMIF($D$6:$D$370,D140,$E$6:$E$370))</f>
        <v>107 / 165</v>
      </c>
      <c r="J140" s="28" t="str">
        <f>CONCATENATE(SUM($E$6:$E140)," / ",SUM($E$6:$E$370))</f>
        <v>1006 / 2271</v>
      </c>
      <c r="K140" s="24" t="s">
        <v>477</v>
      </c>
      <c r="L140" s="28" t="str">
        <f>CONCATENATE(SUMIF($C$6:$C140,C140,$G$6:$G$370)," / ",SUMIF($C$6:$C$370,C140,$G$6:$G$370))</f>
        <v>72 / 102</v>
      </c>
      <c r="M140" s="28" t="str">
        <f>CONCATENATE(SUMIF($D$6:$D140,D140,$G$6:$G$370)," / ",SUMIF($D$6:$D$370,D140,$G$6:$G$370))</f>
        <v>72 / 352</v>
      </c>
      <c r="N140" s="28" t="str">
        <f>CONCATENATE(SUM($G$6:$G140)," / ",SUM($G$6:$G$370))</f>
        <v>172 / 2244,5</v>
      </c>
      <c r="O140" s="24"/>
      <c r="P140" s="224">
        <v>0</v>
      </c>
      <c r="Q140" s="28" t="str">
        <f>CONCATENATE(SUMIF($C$6:$C140,C140,$P$6:$P$370)," / ",SUMIF($C$6:$C$370,C140,$P$6:$P$370))</f>
        <v>0 / 0</v>
      </c>
      <c r="R140" s="28" t="str">
        <f>CONCATENATE(SUMIF($D$6:$D140,$D140,$P$6:$P$370)," / ",SUMIF($D$6:$D$370,$D140,$P$6:$P$370))</f>
        <v>0 / 0</v>
      </c>
      <c r="S140" s="28" t="str">
        <f>CONCATENATE(SUM($P$6:$P140)," / ",SUM($P$6:$P$370))</f>
        <v>0 / 30850</v>
      </c>
    </row>
    <row r="141" spans="2:19" ht="13" thickBot="1">
      <c r="B141" s="238">
        <f t="shared" si="9"/>
        <v>42175</v>
      </c>
      <c r="C141" s="124">
        <f t="shared" si="8"/>
        <v>25</v>
      </c>
      <c r="D141" s="124">
        <f t="shared" si="7"/>
        <v>6</v>
      </c>
      <c r="E141" s="28">
        <v>0</v>
      </c>
      <c r="F141" s="27" t="s">
        <v>482</v>
      </c>
      <c r="G141" s="124">
        <v>30</v>
      </c>
      <c r="H141" s="28" t="str">
        <f>CONCATENATE(SUMIF($C$6:$C141,C141,$E$6:$E$370)," / ",SUMIF($C$6:$C$370,C141,$E$6:$E$370))</f>
        <v>9 / 9</v>
      </c>
      <c r="I141" s="28" t="str">
        <f>CONCATENATE(SUMIF($D$6:$D141,D141,$E$6:$E$370)," / ",SUMIF($D$6:$D$370,D141,$E$6:$E$370))</f>
        <v>107 / 165</v>
      </c>
      <c r="J141" s="28" t="str">
        <f>CONCATENATE(SUM($E$6:$E141)," / ",SUM($E$6:$E$370))</f>
        <v>1006 / 2271</v>
      </c>
      <c r="K141" s="24"/>
      <c r="L141" s="28" t="str">
        <f>CONCATENATE(SUMIF($C$6:$C141,C141,$G$6:$G$370)," / ",SUMIF($C$6:$C$370,C141,$G$6:$G$370))</f>
        <v>102 / 102</v>
      </c>
      <c r="M141" s="28" t="str">
        <f>CONCATENATE(SUMIF($D$6:$D141,D141,$G$6:$G$370)," / ",SUMIF($D$6:$D$370,D141,$G$6:$G$370))</f>
        <v>102 / 352</v>
      </c>
      <c r="N141" s="28" t="str">
        <f>CONCATENATE(SUM($G$6:$G141)," / ",SUM($G$6:$G$370))</f>
        <v>202 / 2244,5</v>
      </c>
      <c r="O141" s="24" t="s">
        <v>489</v>
      </c>
      <c r="P141" s="224">
        <v>0</v>
      </c>
      <c r="Q141" s="28" t="str">
        <f>CONCATENATE(SUMIF($C$6:$C141,C141,$P$6:$P$370)," / ",SUMIF($C$6:$C$370,C141,$P$6:$P$370))</f>
        <v>0 / 0</v>
      </c>
      <c r="R141" s="28" t="str">
        <f>CONCATENATE(SUMIF($D$6:$D141,$D141,$P$6:$P$370)," / ",SUMIF($D$6:$D$370,$D141,$P$6:$P$370))</f>
        <v>0 / 0</v>
      </c>
      <c r="S141" s="28" t="str">
        <f>CONCATENATE(SUM($P$6:$P141)," / ",SUM($P$6:$P$370))</f>
        <v>0 / 30850</v>
      </c>
    </row>
    <row r="142" spans="2:19" ht="16" thickBot="1">
      <c r="B142" s="239">
        <f t="shared" si="9"/>
        <v>42176</v>
      </c>
      <c r="C142" s="193">
        <f t="shared" si="8"/>
        <v>26</v>
      </c>
      <c r="D142" s="193">
        <f t="shared" si="7"/>
        <v>6</v>
      </c>
      <c r="E142" s="194">
        <v>23</v>
      </c>
      <c r="F142" s="195" t="s">
        <v>469</v>
      </c>
      <c r="G142" s="193"/>
      <c r="H142" s="194" t="str">
        <f>CONCATENATE(SUMIF($C$6:$C142,C142,$E$6:$E$370)," / ",SUMIF($C$6:$C$370,C142,$E$6:$E$370))</f>
        <v>23 / 53</v>
      </c>
      <c r="I142" s="194" t="str">
        <f>CONCATENATE(SUMIF($D$6:$D142,D142,$E$6:$E$370)," / ",SUMIF($D$6:$D$370,D142,$E$6:$E$370))</f>
        <v>130 / 165</v>
      </c>
      <c r="J142" s="194" t="str">
        <f>CONCATENATE(SUM($E$6:$E142)," / ",SUM($E$6:$E$370))</f>
        <v>1029 / 2271</v>
      </c>
      <c r="K142" s="196" t="s">
        <v>477</v>
      </c>
      <c r="L142" s="28" t="str">
        <f>CONCATENATE(SUMIF($C$6:$C142,C142,$G$6:$G$370)," / ",SUMIF($C$6:$C$370,C142,$G$6:$G$370))</f>
        <v>0 / 143</v>
      </c>
      <c r="M142" s="28" t="str">
        <f>CONCATENATE(SUMIF($D$6:$D142,D142,$G$6:$G$370)," / ",SUMIF($D$6:$D$370,D142,$G$6:$G$370))</f>
        <v>102 / 352</v>
      </c>
      <c r="N142" s="28" t="str">
        <f>CONCATENATE(SUM($G$6:$G142)," / ",SUM($G$6:$G$370))</f>
        <v>202 / 2244,5</v>
      </c>
      <c r="O142" s="24"/>
      <c r="P142" s="224">
        <v>0</v>
      </c>
      <c r="Q142" s="28" t="str">
        <f>CONCATENATE(SUMIF($C$6:$C142,C142,$P$6:$P$370)," / ",SUMIF($C$6:$C$370,C142,$P$6:$P$370))</f>
        <v>0 / 0</v>
      </c>
      <c r="R142" s="28" t="str">
        <f>CONCATENATE(SUMIF($D$6:$D142,$D142,$P$6:$P$370)," / ",SUMIF($D$6:$D$370,$D142,$P$6:$P$370))</f>
        <v>0 / 0</v>
      </c>
      <c r="S142" s="28" t="str">
        <f>CONCATENATE(SUM($P$6:$P142)," / ",SUM($P$6:$P$370))</f>
        <v>0 / 30850</v>
      </c>
    </row>
    <row r="143" spans="2:19" ht="13" thickBot="1">
      <c r="B143" s="238">
        <f t="shared" si="9"/>
        <v>42177</v>
      </c>
      <c r="C143" s="124">
        <f t="shared" si="8"/>
        <v>26</v>
      </c>
      <c r="D143" s="124">
        <f t="shared" si="7"/>
        <v>6</v>
      </c>
      <c r="E143" s="28">
        <v>0</v>
      </c>
      <c r="F143" s="192"/>
      <c r="G143" s="124"/>
      <c r="H143" s="28" t="str">
        <f>CONCATENATE(SUMIF($C$6:$C143,C143,$E$6:$E$370)," / ",SUMIF($C$6:$C$370,C143,$E$6:$E$370))</f>
        <v>23 / 53</v>
      </c>
      <c r="I143" s="28" t="str">
        <f>CONCATENATE(SUMIF($D$6:$D143,D143,$E$6:$E$370)," / ",SUMIF($D$6:$D$370,D143,$E$6:$E$370))</f>
        <v>130 / 165</v>
      </c>
      <c r="J143" s="28" t="str">
        <f>CONCATENATE(SUM($E$6:$E143)," / ",SUM($E$6:$E$370))</f>
        <v>1029 / 2271</v>
      </c>
      <c r="K143" s="24"/>
      <c r="L143" s="28" t="str">
        <f>CONCATENATE(SUMIF($C$6:$C143,C143,$G$6:$G$370)," / ",SUMIF($C$6:$C$370,C143,$G$6:$G$370))</f>
        <v>0 / 143</v>
      </c>
      <c r="M143" s="28" t="str">
        <f>CONCATENATE(SUMIF($D$6:$D143,D143,$G$6:$G$370)," / ",SUMIF($D$6:$D$370,D143,$G$6:$G$370))</f>
        <v>102 / 352</v>
      </c>
      <c r="N143" s="28" t="str">
        <f>CONCATENATE(SUM($G$6:$G143)," / ",SUM($G$6:$G$370))</f>
        <v>202 / 2244,5</v>
      </c>
      <c r="O143" s="24"/>
      <c r="P143" s="224">
        <v>0</v>
      </c>
      <c r="Q143" s="28" t="str">
        <f>CONCATENATE(SUMIF($C$6:$C143,C143,$P$6:$P$370)," / ",SUMIF($C$6:$C$370,C143,$P$6:$P$370))</f>
        <v>0 / 0</v>
      </c>
      <c r="R143" s="28" t="str">
        <f>CONCATENATE(SUMIF($D$6:$D143,$D143,$P$6:$P$370)," / ",SUMIF($D$6:$D$370,$D143,$P$6:$P$370))</f>
        <v>0 / 0</v>
      </c>
      <c r="S143" s="28" t="str">
        <f>CONCATENATE(SUM($P$6:$P143)," / ",SUM($P$6:$P$370))</f>
        <v>0 / 30850</v>
      </c>
    </row>
    <row r="144" spans="2:19" ht="13" thickBot="1">
      <c r="B144" s="238">
        <f t="shared" si="9"/>
        <v>42178</v>
      </c>
      <c r="C144" s="124">
        <f t="shared" si="8"/>
        <v>26</v>
      </c>
      <c r="D144" s="124">
        <f t="shared" si="7"/>
        <v>6</v>
      </c>
      <c r="E144" s="28">
        <v>0</v>
      </c>
      <c r="F144" s="192"/>
      <c r="G144" s="124">
        <v>41</v>
      </c>
      <c r="H144" s="28" t="str">
        <f>CONCATENATE(SUMIF($C$6:$C144,C144,$E$6:$E$370)," / ",SUMIF($C$6:$C$370,C144,$E$6:$E$370))</f>
        <v>23 / 53</v>
      </c>
      <c r="I144" s="28" t="str">
        <f>CONCATENATE(SUMIF($D$6:$D144,D144,$E$6:$E$370)," / ",SUMIF($D$6:$D$370,D144,$E$6:$E$370))</f>
        <v>130 / 165</v>
      </c>
      <c r="J144" s="28" t="str">
        <f>CONCATENATE(SUM($E$6:$E144)," / ",SUM($E$6:$E$370))</f>
        <v>1029 / 2271</v>
      </c>
      <c r="K144" s="24"/>
      <c r="L144" s="28" t="str">
        <f>CONCATENATE(SUMIF($C$6:$C144,C144,$G$6:$G$370)," / ",SUMIF($C$6:$C$370,C144,$G$6:$G$370))</f>
        <v>41 / 143</v>
      </c>
      <c r="M144" s="28" t="str">
        <f>CONCATENATE(SUMIF($D$6:$D144,D144,$G$6:$G$370)," / ",SUMIF($D$6:$D$370,D144,$G$6:$G$370))</f>
        <v>143 / 352</v>
      </c>
      <c r="N144" s="28" t="str">
        <f>CONCATENATE(SUM($G$6:$G144)," / ",SUM($G$6:$G$370))</f>
        <v>243 / 2244,5</v>
      </c>
      <c r="O144" s="24" t="s">
        <v>489</v>
      </c>
      <c r="P144" s="224">
        <v>0</v>
      </c>
      <c r="Q144" s="28" t="str">
        <f>CONCATENATE(SUMIF($C$6:$C144,C144,$P$6:$P$370)," / ",SUMIF($C$6:$C$370,C144,$P$6:$P$370))</f>
        <v>0 / 0</v>
      </c>
      <c r="R144" s="28" t="str">
        <f>CONCATENATE(SUMIF($D$6:$D144,$D144,$P$6:$P$370)," / ",SUMIF($D$6:$D$370,$D144,$P$6:$P$370))</f>
        <v>0 / 0</v>
      </c>
      <c r="S144" s="28" t="str">
        <f>CONCATENATE(SUM($P$6:$P144)," / ",SUM($P$6:$P$370))</f>
        <v>0 / 30850</v>
      </c>
    </row>
    <row r="145" spans="2:19" ht="13" thickBot="1">
      <c r="B145" s="238">
        <f t="shared" si="9"/>
        <v>42179</v>
      </c>
      <c r="C145" s="124">
        <f t="shared" si="8"/>
        <v>26</v>
      </c>
      <c r="D145" s="124">
        <f t="shared" si="7"/>
        <v>6</v>
      </c>
      <c r="E145" s="28">
        <v>0</v>
      </c>
      <c r="F145" s="192"/>
      <c r="G145" s="124">
        <v>50</v>
      </c>
      <c r="H145" s="28" t="str">
        <f>CONCATENATE(SUMIF($C$6:$C145,C145,$E$6:$E$370)," / ",SUMIF($C$6:$C$370,C145,$E$6:$E$370))</f>
        <v>23 / 53</v>
      </c>
      <c r="I145" s="28" t="str">
        <f>CONCATENATE(SUMIF($D$6:$D145,D145,$E$6:$E$370)," / ",SUMIF($D$6:$D$370,D145,$E$6:$E$370))</f>
        <v>130 / 165</v>
      </c>
      <c r="J145" s="28" t="str">
        <f>CONCATENATE(SUM($E$6:$E145)," / ",SUM($E$6:$E$370))</f>
        <v>1029 / 2271</v>
      </c>
      <c r="K145" s="24"/>
      <c r="L145" s="28" t="str">
        <f>CONCATENATE(SUMIF($C$6:$C145,C145,$G$6:$G$370)," / ",SUMIF($C$6:$C$370,C145,$G$6:$G$370))</f>
        <v>91 / 143</v>
      </c>
      <c r="M145" s="28" t="str">
        <f>CONCATENATE(SUMIF($D$6:$D145,D145,$G$6:$G$370)," / ",SUMIF($D$6:$D$370,D145,$G$6:$G$370))</f>
        <v>193 / 352</v>
      </c>
      <c r="N145" s="28" t="str">
        <f>CONCATENATE(SUM($G$6:$G145)," / ",SUM($G$6:$G$370))</f>
        <v>293 / 2244,5</v>
      </c>
      <c r="O145" s="24" t="s">
        <v>489</v>
      </c>
      <c r="P145" s="224">
        <v>0</v>
      </c>
      <c r="Q145" s="28" t="str">
        <f>CONCATENATE(SUMIF($C$6:$C145,C145,$P$6:$P$370)," / ",SUMIF($C$6:$C$370,C145,$P$6:$P$370))</f>
        <v>0 / 0</v>
      </c>
      <c r="R145" s="28" t="str">
        <f>CONCATENATE(SUMIF($D$6:$D145,$D145,$P$6:$P$370)," / ",SUMIF($D$6:$D$370,$D145,$P$6:$P$370))</f>
        <v>0 / 0</v>
      </c>
      <c r="S145" s="28" t="str">
        <f>CONCATENATE(SUM($P$6:$P145)," / ",SUM($P$6:$P$370))</f>
        <v>0 / 30850</v>
      </c>
    </row>
    <row r="146" spans="2:19" ht="13" thickBot="1">
      <c r="B146" s="238">
        <f t="shared" si="9"/>
        <v>42180</v>
      </c>
      <c r="C146" s="124">
        <f t="shared" si="8"/>
        <v>26</v>
      </c>
      <c r="D146" s="124">
        <f t="shared" si="7"/>
        <v>6</v>
      </c>
      <c r="E146" s="28">
        <v>15</v>
      </c>
      <c r="F146" s="192"/>
      <c r="G146" s="124"/>
      <c r="H146" s="28" t="str">
        <f>CONCATENATE(SUMIF($C$6:$C146,C146,$E$6:$E$370)," / ",SUMIF($C$6:$C$370,C146,$E$6:$E$370))</f>
        <v>38 / 53</v>
      </c>
      <c r="I146" s="28" t="str">
        <f>CONCATENATE(SUMIF($D$6:$D146,D146,$E$6:$E$370)," / ",SUMIF($D$6:$D$370,D146,$E$6:$E$370))</f>
        <v>145 / 165</v>
      </c>
      <c r="J146" s="28" t="str">
        <f>CONCATENATE(SUM($E$6:$E146)," / ",SUM($E$6:$E$370))</f>
        <v>1044 / 2271</v>
      </c>
      <c r="K146" s="24" t="s">
        <v>477</v>
      </c>
      <c r="L146" s="28" t="str">
        <f>CONCATENATE(SUMIF($C$6:$C146,C146,$G$6:$G$370)," / ",SUMIF($C$6:$C$370,C146,$G$6:$G$370))</f>
        <v>91 / 143</v>
      </c>
      <c r="M146" s="28" t="str">
        <f>CONCATENATE(SUMIF($D$6:$D146,D146,$G$6:$G$370)," / ",SUMIF($D$6:$D$370,D146,$G$6:$G$370))</f>
        <v>193 / 352</v>
      </c>
      <c r="N146" s="28" t="str">
        <f>CONCATENATE(SUM($G$6:$G146)," / ",SUM($G$6:$G$370))</f>
        <v>293 / 2244,5</v>
      </c>
      <c r="O146" s="24"/>
      <c r="P146" s="224">
        <v>0</v>
      </c>
      <c r="Q146" s="28" t="str">
        <f>CONCATENATE(SUMIF($C$6:$C146,C146,$P$6:$P$370)," / ",SUMIF($C$6:$C$370,C146,$P$6:$P$370))</f>
        <v>0 / 0</v>
      </c>
      <c r="R146" s="28" t="str">
        <f>CONCATENATE(SUMIF($D$6:$D146,$D146,$P$6:$P$370)," / ",SUMIF($D$6:$D$370,$D146,$P$6:$P$370))</f>
        <v>0 / 0</v>
      </c>
      <c r="S146" s="28" t="str">
        <f>CONCATENATE(SUM($P$6:$P146)," / ",SUM($P$6:$P$370))</f>
        <v>0 / 30850</v>
      </c>
    </row>
    <row r="147" spans="2:19" ht="13" thickBot="1">
      <c r="B147" s="238">
        <f t="shared" si="9"/>
        <v>42181</v>
      </c>
      <c r="C147" s="124">
        <f t="shared" si="8"/>
        <v>26</v>
      </c>
      <c r="D147" s="124">
        <f t="shared" si="7"/>
        <v>6</v>
      </c>
      <c r="E147" s="28">
        <v>0</v>
      </c>
      <c r="F147" s="192"/>
      <c r="G147" s="124">
        <v>52</v>
      </c>
      <c r="H147" s="28" t="str">
        <f>CONCATENATE(SUMIF($C$6:$C147,C147,$E$6:$E$370)," / ",SUMIF($C$6:$C$370,C147,$E$6:$E$370))</f>
        <v>38 / 53</v>
      </c>
      <c r="I147" s="28" t="str">
        <f>CONCATENATE(SUMIF($D$6:$D147,D147,$E$6:$E$370)," / ",SUMIF($D$6:$D$370,D147,$E$6:$E$370))</f>
        <v>145 / 165</v>
      </c>
      <c r="J147" s="28" t="str">
        <f>CONCATENATE(SUM($E$6:$E147)," / ",SUM($E$6:$E$370))</f>
        <v>1044 / 2271</v>
      </c>
      <c r="K147" s="24"/>
      <c r="L147" s="28" t="str">
        <f>CONCATENATE(SUMIF($C$6:$C147,C147,$G$6:$G$370)," / ",SUMIF($C$6:$C$370,C147,$G$6:$G$370))</f>
        <v>143 / 143</v>
      </c>
      <c r="M147" s="28" t="str">
        <f>CONCATENATE(SUMIF($D$6:$D147,D147,$G$6:$G$370)," / ",SUMIF($D$6:$D$370,D147,$G$6:$G$370))</f>
        <v>245 / 352</v>
      </c>
      <c r="N147" s="28" t="str">
        <f>CONCATENATE(SUM($G$6:$G147)," / ",SUM($G$6:$G$370))</f>
        <v>345 / 2244,5</v>
      </c>
      <c r="O147" s="24" t="s">
        <v>489</v>
      </c>
      <c r="P147" s="224">
        <v>0</v>
      </c>
      <c r="Q147" s="28" t="str">
        <f>CONCATENATE(SUMIF($C$6:$C147,C147,$P$6:$P$370)," / ",SUMIF($C$6:$C$370,C147,$P$6:$P$370))</f>
        <v>0 / 0</v>
      </c>
      <c r="R147" s="28" t="str">
        <f>CONCATENATE(SUMIF($D$6:$D147,$D147,$P$6:$P$370)," / ",SUMIF($D$6:$D$370,$D147,$P$6:$P$370))</f>
        <v>0 / 0</v>
      </c>
      <c r="S147" s="28" t="str">
        <f>CONCATENATE(SUM($P$6:$P147)," / ",SUM($P$6:$P$370))</f>
        <v>0 / 30850</v>
      </c>
    </row>
    <row r="148" spans="2:19" ht="13" thickBot="1">
      <c r="B148" s="238">
        <f t="shared" si="9"/>
        <v>42182</v>
      </c>
      <c r="C148" s="124">
        <f t="shared" si="8"/>
        <v>26</v>
      </c>
      <c r="D148" s="124">
        <f t="shared" si="7"/>
        <v>6</v>
      </c>
      <c r="E148" s="28">
        <v>15</v>
      </c>
      <c r="F148" s="192"/>
      <c r="G148" s="124"/>
      <c r="H148" s="28" t="str">
        <f>CONCATENATE(SUMIF($C$6:$C148,C148,$E$6:$E$370)," / ",SUMIF($C$6:$C$370,C148,$E$6:$E$370))</f>
        <v>53 / 53</v>
      </c>
      <c r="I148" s="28" t="str">
        <f>CONCATENATE(SUMIF($D$6:$D148,D148,$E$6:$E$370)," / ",SUMIF($D$6:$D$370,D148,$E$6:$E$370))</f>
        <v>160 / 165</v>
      </c>
      <c r="J148" s="28" t="str">
        <f>CONCATENATE(SUM($E$6:$E148)," / ",SUM($E$6:$E$370))</f>
        <v>1059 / 2271</v>
      </c>
      <c r="K148" s="24" t="s">
        <v>477</v>
      </c>
      <c r="L148" s="28" t="str">
        <f>CONCATENATE(SUMIF($C$6:$C148,C148,$G$6:$G$370)," / ",SUMIF($C$6:$C$370,C148,$G$6:$G$370))</f>
        <v>143 / 143</v>
      </c>
      <c r="M148" s="28" t="str">
        <f>CONCATENATE(SUMIF($D$6:$D148,D148,$G$6:$G$370)," / ",SUMIF($D$6:$D$370,D148,$G$6:$G$370))</f>
        <v>245 / 352</v>
      </c>
      <c r="N148" s="28" t="str">
        <f>CONCATENATE(SUM($G$6:$G148)," / ",SUM($G$6:$G$370))</f>
        <v>345 / 2244,5</v>
      </c>
      <c r="O148" s="24"/>
      <c r="P148" s="224">
        <v>0</v>
      </c>
      <c r="Q148" s="28" t="str">
        <f>CONCATENATE(SUMIF($C$6:$C148,C148,$P$6:$P$370)," / ",SUMIF($C$6:$C$370,C148,$P$6:$P$370))</f>
        <v>0 / 0</v>
      </c>
      <c r="R148" s="28" t="str">
        <f>CONCATENATE(SUMIF($D$6:$D148,$D148,$P$6:$P$370)," / ",SUMIF($D$6:$D$370,$D148,$P$6:$P$370))</f>
        <v>0 / 0</v>
      </c>
      <c r="S148" s="28" t="str">
        <f>CONCATENATE(SUM($P$6:$P148)," / ",SUM($P$6:$P$370))</f>
        <v>0 / 30850</v>
      </c>
    </row>
    <row r="149" spans="2:19" ht="13" thickBot="1">
      <c r="B149" s="238">
        <f t="shared" si="9"/>
        <v>42183</v>
      </c>
      <c r="C149" s="124">
        <f t="shared" si="8"/>
        <v>27</v>
      </c>
      <c r="D149" s="124">
        <f t="shared" si="7"/>
        <v>6</v>
      </c>
      <c r="E149" s="28">
        <v>0</v>
      </c>
      <c r="F149" s="192"/>
      <c r="G149" s="124">
        <v>47</v>
      </c>
      <c r="H149" s="28" t="str">
        <f>CONCATENATE(SUMIF($C$6:$C149,C149,$E$6:$E$370)," / ",SUMIF($C$6:$C$370,C149,$E$6:$E$370))</f>
        <v>0 / 22</v>
      </c>
      <c r="I149" s="28" t="str">
        <f>CONCATENATE(SUMIF($D$6:$D149,D149,$E$6:$E$370)," / ",SUMIF($D$6:$D$370,D149,$E$6:$E$370))</f>
        <v>160 / 165</v>
      </c>
      <c r="J149" s="28" t="str">
        <f>CONCATENATE(SUM($E$6:$E149)," / ",SUM($E$6:$E$370))</f>
        <v>1059 / 2271</v>
      </c>
      <c r="K149" s="24"/>
      <c r="L149" s="28" t="str">
        <f>CONCATENATE(SUMIF($C$6:$C149,C149,$G$6:$G$370)," / ",SUMIF($C$6:$C$370,C149,$G$6:$G$370))</f>
        <v>47 / 122</v>
      </c>
      <c r="M149" s="28" t="str">
        <f>CONCATENATE(SUMIF($D$6:$D149,D149,$G$6:$G$370)," / ",SUMIF($D$6:$D$370,D149,$G$6:$G$370))</f>
        <v>292 / 352</v>
      </c>
      <c r="N149" s="28" t="str">
        <f>CONCATENATE(SUM($G$6:$G149)," / ",SUM($G$6:$G$370))</f>
        <v>392 / 2244,5</v>
      </c>
      <c r="O149" s="24" t="s">
        <v>489</v>
      </c>
      <c r="P149" s="224">
        <v>0</v>
      </c>
      <c r="Q149" s="28" t="str">
        <f>CONCATENATE(SUMIF($C$6:$C149,C149,$P$6:$P$370)," / ",SUMIF($C$6:$C$370,C149,$P$6:$P$370))</f>
        <v>0 / 0</v>
      </c>
      <c r="R149" s="28" t="str">
        <f>CONCATENATE(SUMIF($D$6:$D149,$D149,$P$6:$P$370)," / ",SUMIF($D$6:$D$370,$D149,$P$6:$P$370))</f>
        <v>0 / 0</v>
      </c>
      <c r="S149" s="28" t="str">
        <f>CONCATENATE(SUM($P$6:$P149)," / ",SUM($P$6:$P$370))</f>
        <v>0 / 30850</v>
      </c>
    </row>
    <row r="150" spans="2:19" ht="13" thickBot="1">
      <c r="B150" s="238">
        <f t="shared" si="9"/>
        <v>42184</v>
      </c>
      <c r="C150" s="124">
        <f t="shared" si="8"/>
        <v>27</v>
      </c>
      <c r="D150" s="124">
        <f t="shared" si="7"/>
        <v>6</v>
      </c>
      <c r="E150" s="28">
        <v>5</v>
      </c>
      <c r="F150" s="27" t="s">
        <v>490</v>
      </c>
      <c r="G150" s="124">
        <v>60</v>
      </c>
      <c r="H150" s="28" t="str">
        <f>CONCATENATE(SUMIF($C$6:$C150,C150,$E$6:$E$370)," / ",SUMIF($C$6:$C$370,C150,$E$6:$E$370))</f>
        <v>5 / 22</v>
      </c>
      <c r="I150" s="28" t="str">
        <f>CONCATENATE(SUMIF($D$6:$D150,D150,$E$6:$E$370)," / ",SUMIF($D$6:$D$370,D150,$E$6:$E$370))</f>
        <v>165 / 165</v>
      </c>
      <c r="J150" s="28" t="str">
        <f>CONCATENATE(SUM($E$6:$E150)," / ",SUM($E$6:$E$370))</f>
        <v>1064 / 2271</v>
      </c>
      <c r="K150" s="24" t="s">
        <v>478</v>
      </c>
      <c r="L150" s="28" t="str">
        <f>CONCATENATE(SUMIF($C$6:$C150,C150,$G$6:$G$370)," / ",SUMIF($C$6:$C$370,C150,$G$6:$G$370))</f>
        <v>107 / 122</v>
      </c>
      <c r="M150" s="28" t="str">
        <f>CONCATENATE(SUMIF($D$6:$D150,D150,$G$6:$G$370)," / ",SUMIF($D$6:$D$370,D150,$G$6:$G$370))</f>
        <v>352 / 352</v>
      </c>
      <c r="N150" s="28" t="str">
        <f>CONCATENATE(SUM($G$6:$G150)," / ",SUM($G$6:$G$370))</f>
        <v>452 / 2244,5</v>
      </c>
      <c r="O150" s="24" t="s">
        <v>489</v>
      </c>
      <c r="P150" s="224">
        <v>0</v>
      </c>
      <c r="Q150" s="28" t="str">
        <f>CONCATENATE(SUMIF($C$6:$C150,C150,$P$6:$P$370)," / ",SUMIF($C$6:$C$370,C150,$P$6:$P$370))</f>
        <v>0 / 0</v>
      </c>
      <c r="R150" s="28" t="str">
        <f>CONCATENATE(SUMIF($D$6:$D150,$D150,$P$6:$P$370)," / ",SUMIF($D$6:$D$370,$D150,$P$6:$P$370))</f>
        <v>0 / 0</v>
      </c>
      <c r="S150" s="28" t="str">
        <f>CONCATENATE(SUM($P$6:$P150)," / ",SUM($P$6:$P$370))</f>
        <v>0 / 30850</v>
      </c>
    </row>
    <row r="151" spans="2:19" ht="13" thickBot="1">
      <c r="B151" s="238">
        <f t="shared" si="9"/>
        <v>42185</v>
      </c>
      <c r="C151" s="124">
        <f t="shared" si="8"/>
        <v>27</v>
      </c>
      <c r="D151" s="124">
        <f t="shared" si="7"/>
        <v>6</v>
      </c>
      <c r="E151" s="28">
        <v>0</v>
      </c>
      <c r="F151" s="192"/>
      <c r="G151" s="124"/>
      <c r="H151" s="28" t="str">
        <f>CONCATENATE(SUMIF($C$6:$C151,C151,$E$6:$E$370)," / ",SUMIF($C$6:$C$370,C151,$E$6:$E$370))</f>
        <v>5 / 22</v>
      </c>
      <c r="I151" s="28" t="str">
        <f>CONCATENATE(SUMIF($D$6:$D151,D151,$E$6:$E$370)," / ",SUMIF($D$6:$D$370,D151,$E$6:$E$370))</f>
        <v>165 / 165</v>
      </c>
      <c r="J151" s="28" t="str">
        <f>CONCATENATE(SUM($E$6:$E151)," / ",SUM($E$6:$E$370))</f>
        <v>1064 / 2271</v>
      </c>
      <c r="K151" s="24"/>
      <c r="L151" s="28" t="str">
        <f>CONCATENATE(SUMIF($C$6:$C151,C151,$G$6:$G$370)," / ",SUMIF($C$6:$C$370,C151,$G$6:$G$370))</f>
        <v>107 / 122</v>
      </c>
      <c r="M151" s="28" t="str">
        <f>CONCATENATE(SUMIF($D$6:$D151,D151,$G$6:$G$370)," / ",SUMIF($D$6:$D$370,D151,$G$6:$G$370))</f>
        <v>352 / 352</v>
      </c>
      <c r="N151" s="28" t="str">
        <f>CONCATENATE(SUM($G$6:$G151)," / ",SUM($G$6:$G$370))</f>
        <v>452 / 2244,5</v>
      </c>
      <c r="O151" s="24"/>
      <c r="P151" s="224">
        <v>0</v>
      </c>
      <c r="Q151" s="28" t="str">
        <f>CONCATENATE(SUMIF($C$6:$C151,C151,$P$6:$P$370)," / ",SUMIF($C$6:$C$370,C151,$P$6:$P$370))</f>
        <v>0 / 0</v>
      </c>
      <c r="R151" s="28" t="str">
        <f>CONCATENATE(SUMIF($D$6:$D151,$D151,$P$6:$P$370)," / ",SUMIF($D$6:$D$370,$D151,$P$6:$P$370))</f>
        <v>0 / 0</v>
      </c>
      <c r="S151" s="28" t="str">
        <f>CONCATENATE(SUM($P$6:$P151)," / ",SUM($P$6:$P$370))</f>
        <v>0 / 30850</v>
      </c>
    </row>
    <row r="152" spans="2:19" ht="13" thickBot="1">
      <c r="B152" s="238">
        <f t="shared" si="9"/>
        <v>42186</v>
      </c>
      <c r="C152" s="124">
        <f t="shared" si="8"/>
        <v>27</v>
      </c>
      <c r="D152" s="124">
        <f t="shared" si="7"/>
        <v>7</v>
      </c>
      <c r="E152" s="28">
        <v>0</v>
      </c>
      <c r="F152" s="192"/>
      <c r="G152" s="124"/>
      <c r="H152" s="28" t="str">
        <f>CONCATENATE(SUMIF($C$6:$C152,C152,$E$6:$E$370)," / ",SUMIF($C$6:$C$370,C152,$E$6:$E$370))</f>
        <v>5 / 22</v>
      </c>
      <c r="I152" s="28" t="str">
        <f>CONCATENATE(SUMIF($D$6:$D152,D152,$E$6:$E$370)," / ",SUMIF($D$6:$D$370,D152,$E$6:$E$370))</f>
        <v>0 / 131,5</v>
      </c>
      <c r="J152" s="28" t="str">
        <f>CONCATENATE(SUM($E$6:$E152)," / ",SUM($E$6:$E$370))</f>
        <v>1064 / 2271</v>
      </c>
      <c r="K152" s="24"/>
      <c r="L152" s="28" t="str">
        <f>CONCATENATE(SUMIF($C$6:$C152,C152,$G$6:$G$370)," / ",SUMIF($C$6:$C$370,C152,$G$6:$G$370))</f>
        <v>107 / 122</v>
      </c>
      <c r="M152" s="28" t="str">
        <f>CONCATENATE(SUMIF($D$6:$D152,D152,$G$6:$G$370)," / ",SUMIF($D$6:$D$370,D152,$G$6:$G$370))</f>
        <v>0 / 449</v>
      </c>
      <c r="N152" s="28" t="str">
        <f>CONCATENATE(SUM($G$6:$G152)," / ",SUM($G$6:$G$370))</f>
        <v>452 / 2244,5</v>
      </c>
      <c r="O152" s="24"/>
      <c r="P152" s="224">
        <v>0</v>
      </c>
      <c r="Q152" s="28" t="str">
        <f>CONCATENATE(SUMIF($C$6:$C152,C152,$P$6:$P$370)," / ",SUMIF($C$6:$C$370,C152,$P$6:$P$370))</f>
        <v>0 / 0</v>
      </c>
      <c r="R152" s="28" t="str">
        <f>CONCATENATE(SUMIF($D$6:$D152,$D152,$P$6:$P$370)," / ",SUMIF($D$6:$D$370,$D152,$P$6:$P$370))</f>
        <v>0 / 13250</v>
      </c>
      <c r="S152" s="28" t="str">
        <f>CONCATENATE(SUM($P$6:$P152)," / ",SUM($P$6:$P$370))</f>
        <v>0 / 30850</v>
      </c>
    </row>
    <row r="153" spans="2:19" ht="13" thickBot="1">
      <c r="B153" s="238">
        <f t="shared" si="9"/>
        <v>42187</v>
      </c>
      <c r="C153" s="124">
        <f t="shared" si="8"/>
        <v>27</v>
      </c>
      <c r="D153" s="124">
        <f t="shared" si="7"/>
        <v>7</v>
      </c>
      <c r="E153" s="28">
        <v>0</v>
      </c>
      <c r="F153" s="192"/>
      <c r="G153" s="124"/>
      <c r="H153" s="28" t="str">
        <f>CONCATENATE(SUMIF($C$6:$C153,C153,$E$6:$E$370)," / ",SUMIF($C$6:$C$370,C153,$E$6:$E$370))</f>
        <v>5 / 22</v>
      </c>
      <c r="I153" s="28" t="str">
        <f>CONCATENATE(SUMIF($D$6:$D153,D153,$E$6:$E$370)," / ",SUMIF($D$6:$D$370,D153,$E$6:$E$370))</f>
        <v>0 / 131,5</v>
      </c>
      <c r="J153" s="28" t="str">
        <f>CONCATENATE(SUM($E$6:$E153)," / ",SUM($E$6:$E$370))</f>
        <v>1064 / 2271</v>
      </c>
      <c r="K153" s="24"/>
      <c r="L153" s="28" t="str">
        <f>CONCATENATE(SUMIF($C$6:$C153,C153,$G$6:$G$370)," / ",SUMIF($C$6:$C$370,C153,$G$6:$G$370))</f>
        <v>107 / 122</v>
      </c>
      <c r="M153" s="28" t="str">
        <f>CONCATENATE(SUMIF($D$6:$D153,D153,$G$6:$G$370)," / ",SUMIF($D$6:$D$370,D153,$G$6:$G$370))</f>
        <v>0 / 449</v>
      </c>
      <c r="N153" s="28" t="str">
        <f>CONCATENATE(SUM($G$6:$G153)," / ",SUM($G$6:$G$370))</f>
        <v>452 / 2244,5</v>
      </c>
      <c r="O153" s="24"/>
      <c r="P153" s="224">
        <v>0</v>
      </c>
      <c r="Q153" s="28" t="str">
        <f>CONCATENATE(SUMIF($C$6:$C153,C153,$P$6:$P$370)," / ",SUMIF($C$6:$C$370,C153,$P$6:$P$370))</f>
        <v>0 / 0</v>
      </c>
      <c r="R153" s="28" t="str">
        <f>CONCATENATE(SUMIF($D$6:$D153,$D153,$P$6:$P$370)," / ",SUMIF($D$6:$D$370,$D153,$P$6:$P$370))</f>
        <v>0 / 13250</v>
      </c>
      <c r="S153" s="28" t="str">
        <f>CONCATENATE(SUM($P$6:$P153)," / ",SUM($P$6:$P$370))</f>
        <v>0 / 30850</v>
      </c>
    </row>
    <row r="154" spans="2:19" ht="13" thickBot="1">
      <c r="B154" s="238">
        <f t="shared" si="9"/>
        <v>42188</v>
      </c>
      <c r="C154" s="124">
        <f t="shared" si="8"/>
        <v>27</v>
      </c>
      <c r="D154" s="124">
        <f t="shared" ref="D154:D164" si="10">MONTH(B154)</f>
        <v>7</v>
      </c>
      <c r="E154" s="28">
        <v>0</v>
      </c>
      <c r="F154" s="27" t="s">
        <v>493</v>
      </c>
      <c r="G154" s="124">
        <v>15</v>
      </c>
      <c r="H154" s="28" t="str">
        <f>CONCATENATE(SUMIF($C$6:$C154,C154,$E$6:$E$370)," / ",SUMIF($C$6:$C$370,C154,$E$6:$E$370))</f>
        <v>5 / 22</v>
      </c>
      <c r="I154" s="28" t="str">
        <f>CONCATENATE(SUMIF($D$6:$D154,D154,$E$6:$E$370)," / ",SUMIF($D$6:$D$370,D154,$E$6:$E$370))</f>
        <v>0 / 131,5</v>
      </c>
      <c r="J154" s="28" t="str">
        <f>CONCATENATE(SUM($E$6:$E154)," / ",SUM($E$6:$E$370))</f>
        <v>1064 / 2271</v>
      </c>
      <c r="K154" s="24"/>
      <c r="L154" s="28" t="str">
        <f>CONCATENATE(SUMIF($C$6:$C154,C154,$G$6:$G$370)," / ",SUMIF($C$6:$C$370,C154,$G$6:$G$370))</f>
        <v>122 / 122</v>
      </c>
      <c r="M154" s="28" t="str">
        <f>CONCATENATE(SUMIF($D$6:$D154,D154,$G$6:$G$370)," / ",SUMIF($D$6:$D$370,D154,$G$6:$G$370))</f>
        <v>15 / 449</v>
      </c>
      <c r="N154" s="28" t="str">
        <f>CONCATENATE(SUM($G$6:$G154)," / ",SUM($G$6:$G$370))</f>
        <v>467 / 2244,5</v>
      </c>
      <c r="O154" s="24" t="s">
        <v>489</v>
      </c>
      <c r="P154" s="224">
        <v>0</v>
      </c>
      <c r="Q154" s="28" t="str">
        <f>CONCATENATE(SUMIF($C$6:$C154,C154,$P$6:$P$370)," / ",SUMIF($C$6:$C$370,C154,$P$6:$P$370))</f>
        <v>0 / 0</v>
      </c>
      <c r="R154" s="28" t="str">
        <f>CONCATENATE(SUMIF($D$6:$D154,$D154,$P$6:$P$370)," / ",SUMIF($D$6:$D$370,$D154,$P$6:$P$370))</f>
        <v>0 / 13250</v>
      </c>
      <c r="S154" s="28" t="str">
        <f>CONCATENATE(SUM($P$6:$P154)," / ",SUM($P$6:$P$370))</f>
        <v>0 / 30850</v>
      </c>
    </row>
    <row r="155" spans="2:19" ht="13" thickBot="1">
      <c r="B155" s="238">
        <f t="shared" si="9"/>
        <v>42189</v>
      </c>
      <c r="C155" s="124">
        <f t="shared" si="8"/>
        <v>27</v>
      </c>
      <c r="D155" s="124">
        <f t="shared" si="10"/>
        <v>7</v>
      </c>
      <c r="E155" s="28">
        <v>17</v>
      </c>
      <c r="F155" s="27" t="s">
        <v>491</v>
      </c>
      <c r="G155" s="124"/>
      <c r="H155" s="28" t="str">
        <f>CONCATENATE(SUMIF($C$6:$C155,C155,$E$6:$E$370)," / ",SUMIF($C$6:$C$370,C155,$E$6:$E$370))</f>
        <v>22 / 22</v>
      </c>
      <c r="I155" s="28" t="str">
        <f>CONCATENATE(SUMIF($D$6:$D155,D155,$E$6:$E$370)," / ",SUMIF($D$6:$D$370,D155,$E$6:$E$370))</f>
        <v>17 / 131,5</v>
      </c>
      <c r="J155" s="28" t="str">
        <f>CONCATENATE(SUM($E$6:$E155)," / ",SUM($E$6:$E$370))</f>
        <v>1081 / 2271</v>
      </c>
      <c r="K155" s="24" t="s">
        <v>477</v>
      </c>
      <c r="L155" s="28" t="str">
        <f>CONCATENATE(SUMIF($C$6:$C155,C155,$G$6:$G$370)," / ",SUMIF($C$6:$C$370,C155,$G$6:$G$370))</f>
        <v>122 / 122</v>
      </c>
      <c r="M155" s="28" t="str">
        <f>CONCATENATE(SUMIF($D$6:$D155,D155,$G$6:$G$370)," / ",SUMIF($D$6:$D$370,D155,$G$6:$G$370))</f>
        <v>15 / 449</v>
      </c>
      <c r="N155" s="28" t="str">
        <f>CONCATENATE(SUM($G$6:$G155)," / ",SUM($G$6:$G$370))</f>
        <v>467 / 2244,5</v>
      </c>
      <c r="O155" s="24"/>
      <c r="P155" s="224">
        <v>0</v>
      </c>
      <c r="Q155" s="28" t="str">
        <f>CONCATENATE(SUMIF($C$6:$C155,C155,$P$6:$P$370)," / ",SUMIF($C$6:$C$370,C155,$P$6:$P$370))</f>
        <v>0 / 0</v>
      </c>
      <c r="R155" s="28" t="str">
        <f>CONCATENATE(SUMIF($D$6:$D155,$D155,$P$6:$P$370)," / ",SUMIF($D$6:$D$370,$D155,$P$6:$P$370))</f>
        <v>0 / 13250</v>
      </c>
      <c r="S155" s="28" t="str">
        <f>CONCATENATE(SUM($P$6:$P155)," / ",SUM($P$6:$P$370))</f>
        <v>0 / 30850</v>
      </c>
    </row>
    <row r="156" spans="2:19" ht="13" thickBot="1">
      <c r="B156" s="238">
        <f t="shared" si="9"/>
        <v>42190</v>
      </c>
      <c r="C156" s="124">
        <f t="shared" si="8"/>
        <v>28</v>
      </c>
      <c r="D156" s="124">
        <f t="shared" si="10"/>
        <v>7</v>
      </c>
      <c r="E156" s="28">
        <v>0</v>
      </c>
      <c r="F156" s="27" t="s">
        <v>492</v>
      </c>
      <c r="G156" s="124">
        <v>64</v>
      </c>
      <c r="H156" s="28" t="str">
        <f>CONCATENATE(SUMIF($C$6:$C156,C156,$E$6:$E$370)," / ",SUMIF($C$6:$C$370,C156,$E$6:$E$370))</f>
        <v>0 / 48</v>
      </c>
      <c r="I156" s="28" t="str">
        <f>CONCATENATE(SUMIF($D$6:$D156,D156,$E$6:$E$370)," / ",SUMIF($D$6:$D$370,D156,$E$6:$E$370))</f>
        <v>17 / 131,5</v>
      </c>
      <c r="J156" s="28" t="str">
        <f>CONCATENATE(SUM($E$6:$E156)," / ",SUM($E$6:$E$370))</f>
        <v>1081 / 2271</v>
      </c>
      <c r="K156" s="24"/>
      <c r="L156" s="28" t="str">
        <f>CONCATENATE(SUMIF($C$6:$C156,C156,$G$6:$G$370)," / ",SUMIF($C$6:$C$370,C156,$G$6:$G$370))</f>
        <v>64 / 124</v>
      </c>
      <c r="M156" s="28" t="str">
        <f>CONCATENATE(SUMIF($D$6:$D156,D156,$G$6:$G$370)," / ",SUMIF($D$6:$D$370,D156,$G$6:$G$370))</f>
        <v>79 / 449</v>
      </c>
      <c r="N156" s="28" t="str">
        <f>CONCATENATE(SUM($G$6:$G156)," / ",SUM($G$6:$G$370))</f>
        <v>531 / 2244,5</v>
      </c>
      <c r="O156" s="24" t="s">
        <v>489</v>
      </c>
      <c r="P156" s="224">
        <v>0</v>
      </c>
      <c r="Q156" s="28" t="str">
        <f>CONCATENATE(SUMIF($C$6:$C156,C156,$P$6:$P$370)," / ",SUMIF($C$6:$C$370,C156,$P$6:$P$370))</f>
        <v>0 / 500</v>
      </c>
      <c r="R156" s="28" t="str">
        <f>CONCATENATE(SUMIF($D$6:$D156,$D156,$P$6:$P$370)," / ",SUMIF($D$6:$D$370,$D156,$P$6:$P$370))</f>
        <v>0 / 13250</v>
      </c>
      <c r="S156" s="28" t="str">
        <f>CONCATENATE(SUM($P$6:$P156)," / ",SUM($P$6:$P$370))</f>
        <v>0 / 30850</v>
      </c>
    </row>
    <row r="157" spans="2:19" ht="13" thickBot="1">
      <c r="B157" s="238">
        <f t="shared" si="9"/>
        <v>42191</v>
      </c>
      <c r="C157" s="124">
        <f t="shared" si="8"/>
        <v>28</v>
      </c>
      <c r="D157" s="124">
        <f t="shared" si="10"/>
        <v>7</v>
      </c>
      <c r="E157" s="28">
        <v>16</v>
      </c>
      <c r="F157" s="27" t="s">
        <v>494</v>
      </c>
      <c r="G157" s="124"/>
      <c r="H157" s="28" t="str">
        <f>CONCATENATE(SUMIF($C$6:$C157,C157,$E$6:$E$370)," / ",SUMIF($C$6:$C$370,C157,$E$6:$E$370))</f>
        <v>16 / 48</v>
      </c>
      <c r="I157" s="28" t="str">
        <f>CONCATENATE(SUMIF($D$6:$D157,D157,$E$6:$E$370)," / ",SUMIF($D$6:$D$370,D157,$E$6:$E$370))</f>
        <v>33 / 131,5</v>
      </c>
      <c r="J157" s="28" t="str">
        <f>CONCATENATE(SUM($E$6:$E157)," / ",SUM($E$6:$E$370))</f>
        <v>1097 / 2271</v>
      </c>
      <c r="K157" s="24" t="s">
        <v>477</v>
      </c>
      <c r="L157" s="28" t="str">
        <f>CONCATENATE(SUMIF($C$6:$C157,C157,$G$6:$G$370)," / ",SUMIF($C$6:$C$370,C157,$G$6:$G$370))</f>
        <v>64 / 124</v>
      </c>
      <c r="M157" s="28" t="str">
        <f>CONCATENATE(SUMIF($D$6:$D157,D157,$G$6:$G$370)," / ",SUMIF($D$6:$D$370,D157,$G$6:$G$370))</f>
        <v>79 / 449</v>
      </c>
      <c r="N157" s="28" t="str">
        <f>CONCATENATE(SUM($G$6:$G157)," / ",SUM($G$6:$G$370))</f>
        <v>531 / 2244,5</v>
      </c>
      <c r="O157" s="24"/>
      <c r="P157" s="224">
        <v>0</v>
      </c>
      <c r="Q157" s="28" t="str">
        <f>CONCATENATE(SUMIF($C$6:$C157,C157,$P$6:$P$370)," / ",SUMIF($C$6:$C$370,C157,$P$6:$P$370))</f>
        <v>0 / 500</v>
      </c>
      <c r="R157" s="28" t="str">
        <f>CONCATENATE(SUMIF($D$6:$D157,$D157,$P$6:$P$370)," / ",SUMIF($D$6:$D$370,$D157,$P$6:$P$370))</f>
        <v>0 / 13250</v>
      </c>
      <c r="S157" s="28" t="str">
        <f>CONCATENATE(SUM($P$6:$P157)," / ",SUM($P$6:$P$370))</f>
        <v>0 / 30850</v>
      </c>
    </row>
    <row r="158" spans="2:19" ht="13" thickBot="1">
      <c r="B158" s="238">
        <f t="shared" si="9"/>
        <v>42192</v>
      </c>
      <c r="C158" s="124">
        <f t="shared" si="8"/>
        <v>28</v>
      </c>
      <c r="D158" s="124">
        <f t="shared" si="10"/>
        <v>7</v>
      </c>
      <c r="E158" s="28">
        <v>0</v>
      </c>
      <c r="F158" s="27" t="s">
        <v>498</v>
      </c>
      <c r="G158" s="124"/>
      <c r="H158" s="28" t="str">
        <f>CONCATENATE(SUMIF($C$6:$C158,C158,$E$6:$E$370)," / ",SUMIF($C$6:$C$370,C158,$E$6:$E$370))</f>
        <v>16 / 48</v>
      </c>
      <c r="I158" s="28" t="str">
        <f>CONCATENATE(SUMIF($D$6:$D158,D158,$E$6:$E$370)," / ",SUMIF($D$6:$D$370,D158,$E$6:$E$370))</f>
        <v>33 / 131,5</v>
      </c>
      <c r="J158" s="28" t="str">
        <f>CONCATENATE(SUM($E$6:$E158)," / ",SUM($E$6:$E$370))</f>
        <v>1097 / 2271</v>
      </c>
      <c r="K158" s="24"/>
      <c r="L158" s="28" t="str">
        <f>CONCATENATE(SUMIF($C$6:$C158,C158,$G$6:$G$370)," / ",SUMIF($C$6:$C$370,C158,$G$6:$G$370))</f>
        <v>64 / 124</v>
      </c>
      <c r="M158" s="28" t="str">
        <f>CONCATENATE(SUMIF($D$6:$D158,D158,$G$6:$G$370)," / ",SUMIF($D$6:$D$370,D158,$G$6:$G$370))</f>
        <v>79 / 449</v>
      </c>
      <c r="N158" s="28" t="str">
        <f>CONCATENATE(SUM($G$6:$G158)," / ",SUM($G$6:$G$370))</f>
        <v>531 / 2244,5</v>
      </c>
      <c r="O158" s="24"/>
      <c r="P158" s="224">
        <v>500</v>
      </c>
      <c r="Q158" s="28" t="str">
        <f>CONCATENATE(SUMIF($C$6:$C158,C158,$P$6:$P$370)," / ",SUMIF($C$6:$C$370,C158,$P$6:$P$370))</f>
        <v>500 / 500</v>
      </c>
      <c r="R158" s="28" t="str">
        <f>CONCATENATE(SUMIF($D$6:$D158,$D158,$P$6:$P$370)," / ",SUMIF($D$6:$D$370,$D158,$P$6:$P$370))</f>
        <v>500 / 13250</v>
      </c>
      <c r="S158" s="28" t="str">
        <f>CONCATENATE(SUM($P$6:$P158)," / ",SUM($P$6:$P$370))</f>
        <v>500 / 30850</v>
      </c>
    </row>
    <row r="159" spans="2:19" ht="13" thickBot="1">
      <c r="B159" s="238">
        <f t="shared" si="9"/>
        <v>42193</v>
      </c>
      <c r="C159" s="124">
        <f t="shared" si="8"/>
        <v>28</v>
      </c>
      <c r="D159" s="124">
        <f t="shared" si="10"/>
        <v>7</v>
      </c>
      <c r="E159" s="28">
        <v>0</v>
      </c>
      <c r="F159" s="27" t="s">
        <v>510</v>
      </c>
      <c r="G159" s="124">
        <v>38</v>
      </c>
      <c r="H159" s="28" t="str">
        <f>CONCATENATE(SUMIF($C$6:$C159,C159,$E$6:$E$370)," / ",SUMIF($C$6:$C$370,C159,$E$6:$E$370))</f>
        <v>16 / 48</v>
      </c>
      <c r="I159" s="28" t="str">
        <f>CONCATENATE(SUMIF($D$6:$D159,D159,$E$6:$E$370)," / ",SUMIF($D$6:$D$370,D159,$E$6:$E$370))</f>
        <v>33 / 131,5</v>
      </c>
      <c r="J159" s="28" t="str">
        <f>CONCATENATE(SUM($E$6:$E159)," / ",SUM($E$6:$E$370))</f>
        <v>1097 / 2271</v>
      </c>
      <c r="K159" s="24"/>
      <c r="L159" s="28" t="str">
        <f>CONCATENATE(SUMIF($C$6:$C159,C159,$G$6:$G$370)," / ",SUMIF($C$6:$C$370,C159,$G$6:$G$370))</f>
        <v>102 / 124</v>
      </c>
      <c r="M159" s="28" t="str">
        <f>CONCATENATE(SUMIF($D$6:$D159,D159,$G$6:$G$370)," / ",SUMIF($D$6:$D$370,D159,$G$6:$G$370))</f>
        <v>117 / 449</v>
      </c>
      <c r="N159" s="28" t="str">
        <f>CONCATENATE(SUM($G$6:$G159)," / ",SUM($G$6:$G$370))</f>
        <v>569 / 2244,5</v>
      </c>
      <c r="O159" s="24" t="s">
        <v>489</v>
      </c>
      <c r="P159" s="224">
        <v>0</v>
      </c>
      <c r="Q159" s="28" t="str">
        <f>CONCATENATE(SUMIF($C$6:$C159,C159,$P$6:$P$370)," / ",SUMIF($C$6:$C$370,C159,$P$6:$P$370))</f>
        <v>500 / 500</v>
      </c>
      <c r="R159" s="28" t="str">
        <f>CONCATENATE(SUMIF($D$6:$D159,$D159,$P$6:$P$370)," / ",SUMIF($D$6:$D$370,$D159,$P$6:$P$370))</f>
        <v>500 / 13250</v>
      </c>
      <c r="S159" s="28" t="str">
        <f>CONCATENATE(SUM($P$6:$P159)," / ",SUM($P$6:$P$370))</f>
        <v>500 / 30850</v>
      </c>
    </row>
    <row r="160" spans="2:19" ht="13" thickBot="1">
      <c r="B160" s="238">
        <f t="shared" si="9"/>
        <v>42194</v>
      </c>
      <c r="C160" s="124">
        <f t="shared" si="8"/>
        <v>28</v>
      </c>
      <c r="D160" s="124">
        <f t="shared" si="10"/>
        <v>7</v>
      </c>
      <c r="E160" s="28">
        <v>14</v>
      </c>
      <c r="F160" s="27" t="s">
        <v>495</v>
      </c>
      <c r="G160" s="124">
        <v>15</v>
      </c>
      <c r="H160" s="28" t="str">
        <f>CONCATENATE(SUMIF($C$6:$C160,C160,$E$6:$E$370)," / ",SUMIF($C$6:$C$370,C160,$E$6:$E$370))</f>
        <v>30 / 48</v>
      </c>
      <c r="I160" s="28" t="str">
        <f>CONCATENATE(SUMIF($D$6:$D160,D160,$E$6:$E$370)," / ",SUMIF($D$6:$D$370,D160,$E$6:$E$370))</f>
        <v>47 / 131,5</v>
      </c>
      <c r="J160" s="28" t="str">
        <f>CONCATENATE(SUM($E$6:$E160)," / ",SUM($E$6:$E$370))</f>
        <v>1111 / 2271</v>
      </c>
      <c r="K160" s="24" t="s">
        <v>477</v>
      </c>
      <c r="L160" s="28" t="str">
        <f>CONCATENATE(SUMIF($C$6:$C160,C160,$G$6:$G$370)," / ",SUMIF($C$6:$C$370,C160,$G$6:$G$370))</f>
        <v>117 / 124</v>
      </c>
      <c r="M160" s="28" t="str">
        <f>CONCATENATE(SUMIF($D$6:$D160,D160,$G$6:$G$370)," / ",SUMIF($D$6:$D$370,D160,$G$6:$G$370))</f>
        <v>132 / 449</v>
      </c>
      <c r="N160" s="28" t="str">
        <f>CONCATENATE(SUM($G$6:$G160)," / ",SUM($G$6:$G$370))</f>
        <v>584 / 2244,5</v>
      </c>
      <c r="O160" s="24" t="s">
        <v>489</v>
      </c>
      <c r="P160" s="224">
        <v>0</v>
      </c>
      <c r="Q160" s="28" t="str">
        <f>CONCATENATE(SUMIF($C$6:$C160,C160,$P$6:$P$370)," / ",SUMIF($C$6:$C$370,C160,$P$6:$P$370))</f>
        <v>500 / 500</v>
      </c>
      <c r="R160" s="28" t="str">
        <f>CONCATENATE(SUMIF($D$6:$D160,$D160,$P$6:$P$370)," / ",SUMIF($D$6:$D$370,$D160,$P$6:$P$370))</f>
        <v>500 / 13250</v>
      </c>
      <c r="S160" s="28" t="str">
        <f>CONCATENATE(SUM($P$6:$P160)," / ",SUM($P$6:$P$370))</f>
        <v>500 / 30850</v>
      </c>
    </row>
    <row r="161" spans="2:19" ht="13" thickBot="1">
      <c r="B161" s="238">
        <f t="shared" si="9"/>
        <v>42195</v>
      </c>
      <c r="C161" s="124">
        <f t="shared" si="8"/>
        <v>28</v>
      </c>
      <c r="D161" s="124">
        <f t="shared" si="10"/>
        <v>7</v>
      </c>
      <c r="E161" s="28">
        <v>0</v>
      </c>
      <c r="F161" s="192"/>
      <c r="G161" s="124"/>
      <c r="H161" s="28" t="str">
        <f>CONCATENATE(SUMIF($C$6:$C161,C161,$E$6:$E$370)," / ",SUMIF($C$6:$C$370,C161,$E$6:$E$370))</f>
        <v>30 / 48</v>
      </c>
      <c r="I161" s="28" t="str">
        <f>CONCATENATE(SUMIF($D$6:$D161,D161,$E$6:$E$370)," / ",SUMIF($D$6:$D$370,D161,$E$6:$E$370))</f>
        <v>47 / 131,5</v>
      </c>
      <c r="J161" s="28" t="str">
        <f>CONCATENATE(SUM($E$6:$E161)," / ",SUM($E$6:$E$370))</f>
        <v>1111 / 2271</v>
      </c>
      <c r="K161" s="24"/>
      <c r="L161" s="28" t="str">
        <f>CONCATENATE(SUMIF($C$6:$C161,C161,$G$6:$G$370)," / ",SUMIF($C$6:$C$370,C161,$G$6:$G$370))</f>
        <v>117 / 124</v>
      </c>
      <c r="M161" s="28" t="str">
        <f>CONCATENATE(SUMIF($D$6:$D161,D161,$G$6:$G$370)," / ",SUMIF($D$6:$D$370,D161,$G$6:$G$370))</f>
        <v>132 / 449</v>
      </c>
      <c r="N161" s="28" t="str">
        <f>CONCATENATE(SUM($G$6:$G161)," / ",SUM($G$6:$G$370))</f>
        <v>584 / 2244,5</v>
      </c>
      <c r="O161" s="24"/>
      <c r="P161" s="224">
        <v>0</v>
      </c>
      <c r="Q161" s="28" t="str">
        <f>CONCATENATE(SUMIF($C$6:$C161,C161,$P$6:$P$370)," / ",SUMIF($C$6:$C$370,C161,$P$6:$P$370))</f>
        <v>500 / 500</v>
      </c>
      <c r="R161" s="28" t="str">
        <f>CONCATENATE(SUMIF($D$6:$D161,$D161,$P$6:$P$370)," / ",SUMIF($D$6:$D$370,$D161,$P$6:$P$370))</f>
        <v>500 / 13250</v>
      </c>
      <c r="S161" s="28" t="str">
        <f>CONCATENATE(SUM($P$6:$P161)," / ",SUM($P$6:$P$370))</f>
        <v>500 / 30850</v>
      </c>
    </row>
    <row r="162" spans="2:19" ht="13" thickBot="1">
      <c r="B162" s="238">
        <f t="shared" si="9"/>
        <v>42196</v>
      </c>
      <c r="C162" s="124">
        <f t="shared" si="8"/>
        <v>28</v>
      </c>
      <c r="D162" s="124">
        <f t="shared" si="10"/>
        <v>7</v>
      </c>
      <c r="E162" s="28">
        <v>18</v>
      </c>
      <c r="F162" s="27" t="s">
        <v>499</v>
      </c>
      <c r="G162" s="124">
        <v>7</v>
      </c>
      <c r="H162" s="28" t="str">
        <f>CONCATENATE(SUMIF($C$6:$C162,C162,$E$6:$E$370)," / ",SUMIF($C$6:$C$370,C162,$E$6:$E$370))</f>
        <v>48 / 48</v>
      </c>
      <c r="I162" s="28" t="str">
        <f>CONCATENATE(SUMIF($D$6:$D162,D162,$E$6:$E$370)," / ",SUMIF($D$6:$D$370,D162,$E$6:$E$370))</f>
        <v>65 / 131,5</v>
      </c>
      <c r="J162" s="28" t="str">
        <f>CONCATENATE(SUM($E$6:$E162)," / ",SUM($E$6:$E$370))</f>
        <v>1129 / 2271</v>
      </c>
      <c r="K162" s="24" t="s">
        <v>477</v>
      </c>
      <c r="L162" s="28" t="str">
        <f>CONCATENATE(SUMIF($C$6:$C162,C162,$G$6:$G$370)," / ",SUMIF($C$6:$C$370,C162,$G$6:$G$370))</f>
        <v>124 / 124</v>
      </c>
      <c r="M162" s="28" t="str">
        <f>CONCATENATE(SUMIF($D$6:$D162,D162,$G$6:$G$370)," / ",SUMIF($D$6:$D$370,D162,$G$6:$G$370))</f>
        <v>139 / 449</v>
      </c>
      <c r="N162" s="28" t="str">
        <f>CONCATENATE(SUM($G$6:$G162)," / ",SUM($G$6:$G$370))</f>
        <v>591 / 2244,5</v>
      </c>
      <c r="O162" s="24" t="s">
        <v>489</v>
      </c>
      <c r="P162" s="224">
        <v>0</v>
      </c>
      <c r="Q162" s="28" t="str">
        <f>CONCATENATE(SUMIF($C$6:$C162,C162,$P$6:$P$370)," / ",SUMIF($C$6:$C$370,C162,$P$6:$P$370))</f>
        <v>500 / 500</v>
      </c>
      <c r="R162" s="28" t="str">
        <f>CONCATENATE(SUMIF($D$6:$D162,$D162,$P$6:$P$370)," / ",SUMIF($D$6:$D$370,$D162,$P$6:$P$370))</f>
        <v>500 / 13250</v>
      </c>
      <c r="S162" s="28" t="str">
        <f>CONCATENATE(SUM($P$6:$P162)," / ",SUM($P$6:$P$370))</f>
        <v>500 / 30850</v>
      </c>
    </row>
    <row r="163" spans="2:19" ht="13" thickBot="1">
      <c r="B163" s="238">
        <f t="shared" si="9"/>
        <v>42197</v>
      </c>
      <c r="C163" s="124">
        <f t="shared" si="8"/>
        <v>29</v>
      </c>
      <c r="D163" s="124">
        <f t="shared" si="10"/>
        <v>7</v>
      </c>
      <c r="E163" s="28">
        <v>0</v>
      </c>
      <c r="F163" s="27" t="s">
        <v>500</v>
      </c>
      <c r="G163" s="124">
        <v>60</v>
      </c>
      <c r="H163" s="28" t="str">
        <f>CONCATENATE(SUMIF($C$6:$C163,C163,$E$6:$E$370)," / ",SUMIF($C$6:$C$370,C163,$E$6:$E$370))</f>
        <v>0 / 0</v>
      </c>
      <c r="I163" s="28" t="str">
        <f>CONCATENATE(SUMIF($D$6:$D163,D163,$E$6:$E$370)," / ",SUMIF($D$6:$D$370,D163,$E$6:$E$370))</f>
        <v>65 / 131,5</v>
      </c>
      <c r="J163" s="28" t="str">
        <f>CONCATENATE(SUM($E$6:$E163)," / ",SUM($E$6:$E$370))</f>
        <v>1129 / 2271</v>
      </c>
      <c r="K163" s="24"/>
      <c r="L163" s="28" t="str">
        <f>CONCATENATE(SUMIF($C$6:$C163,C163,$G$6:$G$370)," / ",SUMIF($C$6:$C$370,C163,$G$6:$G$370))</f>
        <v>60 / 105</v>
      </c>
      <c r="M163" s="28" t="str">
        <f>CONCATENATE(SUMIF($D$6:$D163,D163,$G$6:$G$370)," / ",SUMIF($D$6:$D$370,D163,$G$6:$G$370))</f>
        <v>199 / 449</v>
      </c>
      <c r="N163" s="28" t="str">
        <f>CONCATENATE(SUM($G$6:$G163)," / ",SUM($G$6:$G$370))</f>
        <v>651 / 2244,5</v>
      </c>
      <c r="O163" s="25" t="s">
        <v>489</v>
      </c>
      <c r="P163" s="224">
        <v>0</v>
      </c>
      <c r="Q163" s="28" t="str">
        <f>CONCATENATE(SUMIF($C$6:$C163,C163,$P$6:$P$370)," / ",SUMIF($C$6:$C$370,C163,$P$6:$P$370))</f>
        <v>0 / 2250</v>
      </c>
      <c r="R163" s="28" t="str">
        <f>CONCATENATE(SUMIF($D$6:$D163,$D163,$P$6:$P$370)," / ",SUMIF($D$6:$D$370,$D163,$P$6:$P$370))</f>
        <v>500 / 13250</v>
      </c>
      <c r="S163" s="28" t="str">
        <f>CONCATENATE(SUM($P$6:$P163)," / ",SUM($P$6:$P$370))</f>
        <v>500 / 30850</v>
      </c>
    </row>
    <row r="164" spans="2:19" ht="13" thickBot="1">
      <c r="B164" s="238">
        <f t="shared" si="9"/>
        <v>42198</v>
      </c>
      <c r="C164" s="124">
        <f t="shared" si="8"/>
        <v>29</v>
      </c>
      <c r="D164" s="124">
        <f t="shared" si="10"/>
        <v>7</v>
      </c>
      <c r="E164" s="28">
        <v>0</v>
      </c>
      <c r="F164" s="27" t="s">
        <v>501</v>
      </c>
      <c r="G164" s="124">
        <v>35</v>
      </c>
      <c r="H164" s="28" t="str">
        <f>CONCATENATE(SUMIF($C$6:$C164,C164,$E$6:$E$370)," / ",SUMIF($C$6:$C$370,C164,$E$6:$E$370))</f>
        <v>0 / 0</v>
      </c>
      <c r="I164" s="28" t="str">
        <f>CONCATENATE(SUMIF($D$6:$D164,D164,$E$6:$E$370)," / ",SUMIF($D$6:$D$370,D164,$E$6:$E$370))</f>
        <v>65 / 131,5</v>
      </c>
      <c r="J164" s="28" t="str">
        <f>CONCATENATE(SUM($E$6:$E164)," / ",SUM($E$6:$E$370))</f>
        <v>1129 / 2271</v>
      </c>
      <c r="K164" s="24"/>
      <c r="L164" s="28" t="str">
        <f>CONCATENATE(SUMIF($C$6:$C164,C164,$G$6:$G$370)," / ",SUMIF($C$6:$C$370,C164,$G$6:$G$370))</f>
        <v>95 / 105</v>
      </c>
      <c r="M164" s="28" t="str">
        <f>CONCATENATE(SUMIF($D$6:$D164,D164,$G$6:$G$370)," / ",SUMIF($D$6:$D$370,D164,$G$6:$G$370))</f>
        <v>234 / 449</v>
      </c>
      <c r="N164" s="28" t="str">
        <f>CONCATENATE(SUM($G$6:$G164)," / ",SUM($G$6:$G$370))</f>
        <v>686 / 2244,5</v>
      </c>
      <c r="O164" s="24" t="s">
        <v>489</v>
      </c>
      <c r="P164" s="224">
        <v>0</v>
      </c>
      <c r="Q164" s="28" t="str">
        <f>CONCATENATE(SUMIF($C$6:$C164,C164,$P$6:$P$370)," / ",SUMIF($C$6:$C$370,C164,$P$6:$P$370))</f>
        <v>0 / 2250</v>
      </c>
      <c r="R164" s="28" t="str">
        <f>CONCATENATE(SUMIF($D$6:$D164,$D164,$P$6:$P$370)," / ",SUMIF($D$6:$D$370,$D164,$P$6:$P$370))</f>
        <v>500 / 13250</v>
      </c>
      <c r="S164" s="28" t="str">
        <f>CONCATENATE(SUM($P$6:$P164)," / ",SUM($P$6:$P$370))</f>
        <v>500 / 30850</v>
      </c>
    </row>
    <row r="165" spans="2:19" ht="13" thickBot="1">
      <c r="B165" s="238">
        <f t="shared" ref="B165" si="11">B164+1</f>
        <v>42199</v>
      </c>
      <c r="C165" s="124">
        <f t="shared" si="8"/>
        <v>29</v>
      </c>
      <c r="D165" s="124">
        <f t="shared" ref="D165:D228" si="12">MONTH(B165)</f>
        <v>7</v>
      </c>
      <c r="E165" s="28">
        <v>0</v>
      </c>
      <c r="F165" s="27" t="s">
        <v>502</v>
      </c>
      <c r="G165" s="124"/>
      <c r="H165" s="28" t="str">
        <f>CONCATENATE(SUMIF($C$6:$C165,C165,$E$6:$E$370)," / ",SUMIF($C$6:$C$370,C165,$E$6:$E$370))</f>
        <v>0 / 0</v>
      </c>
      <c r="I165" s="28" t="str">
        <f>CONCATENATE(SUMIF($D$6:$D165,D165,$E$6:$E$370)," / ",SUMIF($D$6:$D$370,D165,$E$6:$E$370))</f>
        <v>65 / 131,5</v>
      </c>
      <c r="J165" s="28" t="str">
        <f>CONCATENATE(SUM($E$6:$E165)," / ",SUM($E$6:$E$370))</f>
        <v>1129 / 2271</v>
      </c>
      <c r="K165" s="24"/>
      <c r="L165" s="28" t="str">
        <f>CONCATENATE(SUMIF($C$6:$C165,C165,$G$6:$G$370)," / ",SUMIF($C$6:$C$370,C165,$G$6:$G$370))</f>
        <v>95 / 105</v>
      </c>
      <c r="M165" s="28" t="str">
        <f>CONCATENATE(SUMIF($D$6:$D165,D165,$G$6:$G$370)," / ",SUMIF($D$6:$D$370,D165,$G$6:$G$370))</f>
        <v>234 / 449</v>
      </c>
      <c r="N165" s="28" t="str">
        <f>CONCATENATE(SUM($G$6:$G165)," / ",SUM($G$6:$G$370))</f>
        <v>686 / 2244,5</v>
      </c>
      <c r="O165" s="24"/>
      <c r="P165" s="224">
        <v>500</v>
      </c>
      <c r="Q165" s="28" t="str">
        <f>CONCATENATE(SUMIF($C$6:$C165,C165,$P$6:$P$370)," / ",SUMIF($C$6:$C$370,C165,$P$6:$P$370))</f>
        <v>500 / 2250</v>
      </c>
      <c r="R165" s="28" t="str">
        <f>CONCATENATE(SUMIF($D$6:$D165,$D165,$P$6:$P$370)," / ",SUMIF($D$6:$D$370,$D165,$P$6:$P$370))</f>
        <v>1000 / 13250</v>
      </c>
      <c r="S165" s="28" t="str">
        <f>CONCATENATE(SUM($P$6:$P165)," / ",SUM($P$6:$P$370))</f>
        <v>1000 / 30850</v>
      </c>
    </row>
    <row r="166" spans="2:19" ht="13" thickBot="1">
      <c r="B166" s="238">
        <f t="shared" ref="B166" si="13">B165+1</f>
        <v>42200</v>
      </c>
      <c r="C166" s="124">
        <f t="shared" ref="C166:C229" si="14">WEEKNUM($B166)</f>
        <v>29</v>
      </c>
      <c r="D166" s="124">
        <f t="shared" si="12"/>
        <v>7</v>
      </c>
      <c r="E166" s="28">
        <v>0</v>
      </c>
      <c r="F166" s="192"/>
      <c r="G166" s="124"/>
      <c r="H166" s="28" t="str">
        <f>CONCATENATE(SUMIF($C$6:$C166,C166,$E$6:$E$370)," / ",SUMIF($C$6:$C$370,C166,$E$6:$E$370))</f>
        <v>0 / 0</v>
      </c>
      <c r="I166" s="28" t="str">
        <f>CONCATENATE(SUMIF($D$6:$D166,D166,$E$6:$E$370)," / ",SUMIF($D$6:$D$370,D166,$E$6:$E$370))</f>
        <v>65 / 131,5</v>
      </c>
      <c r="J166" s="28" t="str">
        <f>CONCATENATE(SUM($E$6:$E166)," / ",SUM($E$6:$E$370))</f>
        <v>1129 / 2271</v>
      </c>
      <c r="K166" s="24"/>
      <c r="L166" s="28" t="str">
        <f>CONCATENATE(SUMIF($C$6:$C166,C166,$G$6:$G$370)," / ",SUMIF($C$6:$C$370,C166,$G$6:$G$370))</f>
        <v>95 / 105</v>
      </c>
      <c r="M166" s="28" t="str">
        <f>CONCATENATE(SUMIF($D$6:$D166,D166,$G$6:$G$370)," / ",SUMIF($D$6:$D$370,D166,$G$6:$G$370))</f>
        <v>234 / 449</v>
      </c>
      <c r="N166" s="28" t="str">
        <f>CONCATENATE(SUM($G$6:$G166)," / ",SUM($G$6:$G$370))</f>
        <v>686 / 2244,5</v>
      </c>
      <c r="O166" s="24"/>
      <c r="P166" s="224">
        <v>0</v>
      </c>
      <c r="Q166" s="28" t="str">
        <f>CONCATENATE(SUMIF($C$6:$C166,C166,$P$6:$P$370)," / ",SUMIF($C$6:$C$370,C166,$P$6:$P$370))</f>
        <v>500 / 2250</v>
      </c>
      <c r="R166" s="28" t="str">
        <f>CONCATENATE(SUMIF($D$6:$D166,$D166,$P$6:$P$370)," / ",SUMIF($D$6:$D$370,$D166,$P$6:$P$370))</f>
        <v>1000 / 13250</v>
      </c>
      <c r="S166" s="28" t="str">
        <f>CONCATENATE(SUM($P$6:$P166)," / ",SUM($P$6:$P$370))</f>
        <v>1000 / 30850</v>
      </c>
    </row>
    <row r="167" spans="2:19" ht="13" thickBot="1">
      <c r="B167" s="238">
        <f t="shared" ref="B167" si="15">B166+1</f>
        <v>42201</v>
      </c>
      <c r="C167" s="124">
        <f t="shared" si="14"/>
        <v>29</v>
      </c>
      <c r="D167" s="124">
        <f t="shared" si="12"/>
        <v>7</v>
      </c>
      <c r="E167" s="28">
        <v>0</v>
      </c>
      <c r="F167" s="27" t="s">
        <v>502</v>
      </c>
      <c r="G167" s="124">
        <v>10</v>
      </c>
      <c r="H167" s="28" t="str">
        <f>CONCATENATE(SUMIF($C$6:$C167,C167,$E$6:$E$370)," / ",SUMIF($C$6:$C$370,C167,$E$6:$E$370))</f>
        <v>0 / 0</v>
      </c>
      <c r="I167" s="28" t="str">
        <f>CONCATENATE(SUMIF($D$6:$D167,D167,$E$6:$E$370)," / ",SUMIF($D$6:$D$370,D167,$E$6:$E$370))</f>
        <v>65 / 131,5</v>
      </c>
      <c r="J167" s="28" t="str">
        <f>CONCATENATE(SUM($E$6:$E167)," / ",SUM($E$6:$E$370))</f>
        <v>1129 / 2271</v>
      </c>
      <c r="K167" s="24"/>
      <c r="L167" s="28" t="str">
        <f>CONCATENATE(SUMIF($C$6:$C167,C167,$G$6:$G$370)," / ",SUMIF($C$6:$C$370,C167,$G$6:$G$370))</f>
        <v>105 / 105</v>
      </c>
      <c r="M167" s="28" t="str">
        <f>CONCATENATE(SUMIF($D$6:$D167,D167,$G$6:$G$370)," / ",SUMIF($D$6:$D$370,D167,$G$6:$G$370))</f>
        <v>244 / 449</v>
      </c>
      <c r="N167" s="28" t="str">
        <f>CONCATENATE(SUM($G$6:$G167)," / ",SUM($G$6:$G$370))</f>
        <v>696 / 2244,5</v>
      </c>
      <c r="O167" s="24" t="s">
        <v>489</v>
      </c>
      <c r="P167" s="224">
        <v>0</v>
      </c>
      <c r="Q167" s="28" t="str">
        <f>CONCATENATE(SUMIF($C$6:$C167,C167,$P$6:$P$370)," / ",SUMIF($C$6:$C$370,C167,$P$6:$P$370))</f>
        <v>500 / 2250</v>
      </c>
      <c r="R167" s="28" t="str">
        <f>CONCATENATE(SUMIF($D$6:$D167,$D167,$P$6:$P$370)," / ",SUMIF($D$6:$D$370,$D167,$P$6:$P$370))</f>
        <v>1000 / 13250</v>
      </c>
      <c r="S167" s="28" t="str">
        <f>CONCATENATE(SUM($P$6:$P167)," / ",SUM($P$6:$P$370))</f>
        <v>1000 / 30850</v>
      </c>
    </row>
    <row r="168" spans="2:19" ht="13" thickBot="1">
      <c r="B168" s="238">
        <f t="shared" ref="B168" si="16">B167+1</f>
        <v>42202</v>
      </c>
      <c r="C168" s="124">
        <f t="shared" si="14"/>
        <v>29</v>
      </c>
      <c r="D168" s="124">
        <f t="shared" si="12"/>
        <v>7</v>
      </c>
      <c r="E168" s="28">
        <v>0</v>
      </c>
      <c r="F168" s="27" t="s">
        <v>503</v>
      </c>
      <c r="G168" s="124"/>
      <c r="H168" s="28" t="str">
        <f>CONCATENATE(SUMIF($C$6:$C168,C168,$E$6:$E$370)," / ",SUMIF($C$6:$C$370,C168,$E$6:$E$370))</f>
        <v>0 / 0</v>
      </c>
      <c r="I168" s="28" t="str">
        <f>CONCATENATE(SUMIF($D$6:$D168,D168,$E$6:$E$370)," / ",SUMIF($D$6:$D$370,D168,$E$6:$E$370))</f>
        <v>65 / 131,5</v>
      </c>
      <c r="J168" s="28" t="str">
        <f>CONCATENATE(SUM($E$6:$E168)," / ",SUM($E$6:$E$370))</f>
        <v>1129 / 2271</v>
      </c>
      <c r="K168" s="24"/>
      <c r="L168" s="28" t="str">
        <f>CONCATENATE(SUMIF($C$6:$C168,C168,$G$6:$G$370)," / ",SUMIF($C$6:$C$370,C168,$G$6:$G$370))</f>
        <v>105 / 105</v>
      </c>
      <c r="M168" s="28" t="str">
        <f>CONCATENATE(SUMIF($D$6:$D168,D168,$G$6:$G$370)," / ",SUMIF($D$6:$D$370,D168,$G$6:$G$370))</f>
        <v>244 / 449</v>
      </c>
      <c r="N168" s="28" t="str">
        <f>CONCATENATE(SUM($G$6:$G168)," / ",SUM($G$6:$G$370))</f>
        <v>696 / 2244,5</v>
      </c>
      <c r="O168" s="24"/>
      <c r="P168" s="224">
        <v>750</v>
      </c>
      <c r="Q168" s="28" t="str">
        <f>CONCATENATE(SUMIF($C$6:$C168,C168,$P$6:$P$370)," / ",SUMIF($C$6:$C$370,C168,$P$6:$P$370))</f>
        <v>1250 / 2250</v>
      </c>
      <c r="R168" s="28" t="str">
        <f>CONCATENATE(SUMIF($D$6:$D168,$D168,$P$6:$P$370)," / ",SUMIF($D$6:$D$370,$D168,$P$6:$P$370))</f>
        <v>1750 / 13250</v>
      </c>
      <c r="S168" s="28" t="str">
        <f>CONCATENATE(SUM($P$6:$P168)," / ",SUM($P$6:$P$370))</f>
        <v>1750 / 30850</v>
      </c>
    </row>
    <row r="169" spans="2:19" ht="13" thickBot="1">
      <c r="B169" s="238">
        <f t="shared" ref="B169" si="17">B168+1</f>
        <v>42203</v>
      </c>
      <c r="C169" s="124">
        <f t="shared" si="14"/>
        <v>29</v>
      </c>
      <c r="D169" s="124">
        <f t="shared" si="12"/>
        <v>7</v>
      </c>
      <c r="E169" s="28">
        <v>0</v>
      </c>
      <c r="F169" s="192"/>
      <c r="G169" s="124"/>
      <c r="H169" s="28" t="str">
        <f>CONCATENATE(SUMIF($C$6:$C169,C169,$E$6:$E$370)," / ",SUMIF($C$6:$C$370,C169,$E$6:$E$370))</f>
        <v>0 / 0</v>
      </c>
      <c r="I169" s="28" t="str">
        <f>CONCATENATE(SUMIF($D$6:$D169,D169,$E$6:$E$370)," / ",SUMIF($D$6:$D$370,D169,$E$6:$E$370))</f>
        <v>65 / 131,5</v>
      </c>
      <c r="J169" s="28" t="str">
        <f>CONCATENATE(SUM($E$6:$E169)," / ",SUM($E$6:$E$370))</f>
        <v>1129 / 2271</v>
      </c>
      <c r="K169" s="24"/>
      <c r="L169" s="28" t="str">
        <f>CONCATENATE(SUMIF($C$6:$C169,C169,$G$6:$G$370)," / ",SUMIF($C$6:$C$370,C169,$G$6:$G$370))</f>
        <v>105 / 105</v>
      </c>
      <c r="M169" s="28" t="str">
        <f>CONCATENATE(SUMIF($D$6:$D169,D169,$G$6:$G$370)," / ",SUMIF($D$6:$D$370,D169,$G$6:$G$370))</f>
        <v>244 / 449</v>
      </c>
      <c r="N169" s="28" t="str">
        <f>CONCATENATE(SUM($G$6:$G169)," / ",SUM($G$6:$G$370))</f>
        <v>696 / 2244,5</v>
      </c>
      <c r="O169" s="24"/>
      <c r="P169" s="224">
        <v>1000</v>
      </c>
      <c r="Q169" s="28" t="str">
        <f>CONCATENATE(SUMIF($C$6:$C169,C169,$P$6:$P$370)," / ",SUMIF($C$6:$C$370,C169,$P$6:$P$370))</f>
        <v>2250 / 2250</v>
      </c>
      <c r="R169" s="28" t="str">
        <f>CONCATENATE(SUMIF($D$6:$D169,$D169,$P$6:$P$370)," / ",SUMIF($D$6:$D$370,$D169,$P$6:$P$370))</f>
        <v>2750 / 13250</v>
      </c>
      <c r="S169" s="28" t="str">
        <f>CONCATENATE(SUM($P$6:$P169)," / ",SUM($P$6:$P$370))</f>
        <v>2750 / 30850</v>
      </c>
    </row>
    <row r="170" spans="2:19" ht="16" thickBot="1">
      <c r="B170" s="239">
        <f t="shared" ref="B170" si="18">B169+1</f>
        <v>42204</v>
      </c>
      <c r="C170" s="193">
        <f t="shared" si="14"/>
        <v>30</v>
      </c>
      <c r="D170" s="193">
        <f t="shared" si="12"/>
        <v>7</v>
      </c>
      <c r="E170" s="194">
        <v>27.5</v>
      </c>
      <c r="F170" s="195" t="s">
        <v>464</v>
      </c>
      <c r="G170" s="193">
        <v>65</v>
      </c>
      <c r="H170" s="194" t="str">
        <f>CONCATENATE(SUMIF($C$6:$C170,C170,$E$6:$E$370)," / ",SUMIF($C$6:$C$370,C170,$E$6:$E$370))</f>
        <v>27,5 / 56,5</v>
      </c>
      <c r="I170" s="194" t="str">
        <f>CONCATENATE(SUMIF($D$6:$D170,D170,$E$6:$E$370)," / ",SUMIF($D$6:$D$370,D170,$E$6:$E$370))</f>
        <v>92,5 / 131,5</v>
      </c>
      <c r="J170" s="194" t="str">
        <f>CONCATENATE(SUM($E$6:$E170)," / ",SUM($E$6:$E$370))</f>
        <v>1156,5 / 2271</v>
      </c>
      <c r="K170" s="196" t="s">
        <v>477</v>
      </c>
      <c r="L170" s="28" t="str">
        <f>CONCATENATE(SUMIF($C$6:$C170,C170,$G$6:$G$370)," / ",SUMIF($C$6:$C$370,C170,$G$6:$G$370))</f>
        <v>65 / 120</v>
      </c>
      <c r="M170" s="28" t="str">
        <f>CONCATENATE(SUMIF($D$6:$D170,D170,$G$6:$G$370)," / ",SUMIF($D$6:$D$370,D170,$G$6:$G$370))</f>
        <v>309 / 449</v>
      </c>
      <c r="N170" s="28" t="str">
        <f>CONCATENATE(SUM($G$6:$G170)," / ",SUM($G$6:$G$370))</f>
        <v>761 / 2244,5</v>
      </c>
      <c r="O170" s="24" t="s">
        <v>489</v>
      </c>
      <c r="P170" s="224">
        <v>0</v>
      </c>
      <c r="Q170" s="28" t="str">
        <f>CONCATENATE(SUMIF($C$6:$C170,C170,$P$6:$P$370)," / ",SUMIF($C$6:$C$370,C170,$P$6:$P$370))</f>
        <v>0 / 5000</v>
      </c>
      <c r="R170" s="28" t="str">
        <f>CONCATENATE(SUMIF($D$6:$D170,$D170,$P$6:$P$370)," / ",SUMIF($D$6:$D$370,$D170,$P$6:$P$370))</f>
        <v>2750 / 13250</v>
      </c>
      <c r="S170" s="28" t="str">
        <f>CONCATENATE(SUM($P$6:$P170)," / ",SUM($P$6:$P$370))</f>
        <v>2750 / 30850</v>
      </c>
    </row>
    <row r="171" spans="2:19" ht="13" thickBot="1">
      <c r="B171" s="238">
        <f t="shared" ref="B171" si="19">B170+1</f>
        <v>42205</v>
      </c>
      <c r="C171" s="124">
        <f t="shared" si="14"/>
        <v>30</v>
      </c>
      <c r="D171" s="124">
        <f t="shared" si="12"/>
        <v>7</v>
      </c>
      <c r="E171" s="28">
        <v>0</v>
      </c>
      <c r="F171" s="27" t="s">
        <v>506</v>
      </c>
      <c r="G171" s="124">
        <v>15</v>
      </c>
      <c r="H171" s="28" t="str">
        <f>CONCATENATE(SUMIF($C$6:$C171,C171,$E$6:$E$370)," / ",SUMIF($C$6:$C$370,C171,$E$6:$E$370))</f>
        <v>27,5 / 56,5</v>
      </c>
      <c r="I171" s="28" t="str">
        <f>CONCATENATE(SUMIF($D$6:$D171,D171,$E$6:$E$370)," / ",SUMIF($D$6:$D$370,D171,$E$6:$E$370))</f>
        <v>92,5 / 131,5</v>
      </c>
      <c r="J171" s="28" t="str">
        <f>CONCATENATE(SUM($E$6:$E171)," / ",SUM($E$6:$E$370))</f>
        <v>1156,5 / 2271</v>
      </c>
      <c r="K171" s="24"/>
      <c r="L171" s="28" t="str">
        <f>CONCATENATE(SUMIF($C$6:$C171,C171,$G$6:$G$370)," / ",SUMIF($C$6:$C$370,C171,$G$6:$G$370))</f>
        <v>80 / 120</v>
      </c>
      <c r="M171" s="28" t="str">
        <f>CONCATENATE(SUMIF($D$6:$D171,D171,$G$6:$G$370)," / ",SUMIF($D$6:$D$370,D171,$G$6:$G$370))</f>
        <v>324 / 449</v>
      </c>
      <c r="N171" s="28" t="str">
        <f>CONCATENATE(SUM($G$6:$G171)," / ",SUM($G$6:$G$370))</f>
        <v>776 / 2244,5</v>
      </c>
      <c r="O171" s="24" t="s">
        <v>489</v>
      </c>
      <c r="P171" s="224">
        <v>2000</v>
      </c>
      <c r="Q171" s="28" t="str">
        <f>CONCATENATE(SUMIF($C$6:$C171,C171,$P$6:$P$370)," / ",SUMIF($C$6:$C$370,C171,$P$6:$P$370))</f>
        <v>2000 / 5000</v>
      </c>
      <c r="R171" s="28" t="str">
        <f>CONCATENATE(SUMIF($D$6:$D171,$D171,$P$6:$P$370)," / ",SUMIF($D$6:$D$370,$D171,$P$6:$P$370))</f>
        <v>4750 / 13250</v>
      </c>
      <c r="S171" s="28" t="str">
        <f>CONCATENATE(SUM($P$6:$P171)," / ",SUM($P$6:$P$370))</f>
        <v>4750 / 30850</v>
      </c>
    </row>
    <row r="172" spans="2:19" ht="13" thickBot="1">
      <c r="B172" s="238">
        <f t="shared" ref="B172" si="20">B171+1</f>
        <v>42206</v>
      </c>
      <c r="C172" s="124">
        <f t="shared" si="14"/>
        <v>30</v>
      </c>
      <c r="D172" s="124">
        <f t="shared" si="12"/>
        <v>7</v>
      </c>
      <c r="E172" s="28">
        <v>0</v>
      </c>
      <c r="F172" s="27" t="s">
        <v>505</v>
      </c>
      <c r="G172" s="124">
        <v>15</v>
      </c>
      <c r="H172" s="28" t="str">
        <f>CONCATENATE(SUMIF($C$6:$C172,C172,$E$6:$E$370)," / ",SUMIF($C$6:$C$370,C172,$E$6:$E$370))</f>
        <v>27,5 / 56,5</v>
      </c>
      <c r="I172" s="28" t="str">
        <f>CONCATENATE(SUMIF($D$6:$D172,D172,$E$6:$E$370)," / ",SUMIF($D$6:$D$370,D172,$E$6:$E$370))</f>
        <v>92,5 / 131,5</v>
      </c>
      <c r="J172" s="28" t="str">
        <f>CONCATENATE(SUM($E$6:$E172)," / ",SUM($E$6:$E$370))</f>
        <v>1156,5 / 2271</v>
      </c>
      <c r="K172" s="24"/>
      <c r="L172" s="28" t="str">
        <f>CONCATENATE(SUMIF($C$6:$C172,C172,$G$6:$G$370)," / ",SUMIF($C$6:$C$370,C172,$G$6:$G$370))</f>
        <v>95 / 120</v>
      </c>
      <c r="M172" s="28" t="str">
        <f>CONCATENATE(SUMIF($D$6:$D172,D172,$G$6:$G$370)," / ",SUMIF($D$6:$D$370,D172,$G$6:$G$370))</f>
        <v>339 / 449</v>
      </c>
      <c r="N172" s="28" t="str">
        <f>CONCATENATE(SUM($G$6:$G172)," / ",SUM($G$6:$G$370))</f>
        <v>791 / 2244,5</v>
      </c>
      <c r="O172" s="24" t="s">
        <v>489</v>
      </c>
      <c r="P172" s="224">
        <v>1000</v>
      </c>
      <c r="Q172" s="28" t="str">
        <f>CONCATENATE(SUMIF($C$6:$C172,C172,$P$6:$P$370)," / ",SUMIF($C$6:$C$370,C172,$P$6:$P$370))</f>
        <v>3000 / 5000</v>
      </c>
      <c r="R172" s="28" t="str">
        <f>CONCATENATE(SUMIF($D$6:$D172,$D172,$P$6:$P$370)," / ",SUMIF($D$6:$D$370,$D172,$P$6:$P$370))</f>
        <v>5750 / 13250</v>
      </c>
      <c r="S172" s="28" t="str">
        <f>CONCATENATE(SUM($P$6:$P172)," / ",SUM($P$6:$P$370))</f>
        <v>5750 / 30850</v>
      </c>
    </row>
    <row r="173" spans="2:19" ht="13" thickBot="1">
      <c r="B173" s="238">
        <f t="shared" ref="B173" si="21">B172+1</f>
        <v>42207</v>
      </c>
      <c r="C173" s="124">
        <f t="shared" si="14"/>
        <v>30</v>
      </c>
      <c r="D173" s="124">
        <f t="shared" si="12"/>
        <v>7</v>
      </c>
      <c r="E173" s="28">
        <v>0</v>
      </c>
      <c r="F173" s="192"/>
      <c r="G173" s="124"/>
      <c r="H173" s="28" t="str">
        <f>CONCATENATE(SUMIF($C$6:$C173,C173,$E$6:$E$370)," / ",SUMIF($C$6:$C$370,C173,$E$6:$E$370))</f>
        <v>27,5 / 56,5</v>
      </c>
      <c r="I173" s="28" t="str">
        <f>CONCATENATE(SUMIF($D$6:$D173,D173,$E$6:$E$370)," / ",SUMIF($D$6:$D$370,D173,$E$6:$E$370))</f>
        <v>92,5 / 131,5</v>
      </c>
      <c r="J173" s="28" t="str">
        <f>CONCATENATE(SUM($E$6:$E173)," / ",SUM($E$6:$E$370))</f>
        <v>1156,5 / 2271</v>
      </c>
      <c r="K173" s="24"/>
      <c r="L173" s="28" t="str">
        <f>CONCATENATE(SUMIF($C$6:$C173,C173,$G$6:$G$370)," / ",SUMIF($C$6:$C$370,C173,$G$6:$G$370))</f>
        <v>95 / 120</v>
      </c>
      <c r="M173" s="28" t="str">
        <f>CONCATENATE(SUMIF($D$6:$D173,D173,$G$6:$G$370)," / ",SUMIF($D$6:$D$370,D173,$G$6:$G$370))</f>
        <v>339 / 449</v>
      </c>
      <c r="N173" s="28" t="str">
        <f>CONCATENATE(SUM($G$6:$G173)," / ",SUM($G$6:$G$370))</f>
        <v>791 / 2244,5</v>
      </c>
      <c r="O173" s="24"/>
      <c r="P173" s="224">
        <v>0</v>
      </c>
      <c r="Q173" s="28" t="str">
        <f>CONCATENATE(SUMIF($C$6:$C173,C173,$P$6:$P$370)," / ",SUMIF($C$6:$C$370,C173,$P$6:$P$370))</f>
        <v>3000 / 5000</v>
      </c>
      <c r="R173" s="28" t="str">
        <f>CONCATENATE(SUMIF($D$6:$D173,$D173,$P$6:$P$370)," / ",SUMIF($D$6:$D$370,$D173,$P$6:$P$370))</f>
        <v>5750 / 13250</v>
      </c>
      <c r="S173" s="28" t="str">
        <f>CONCATENATE(SUM($P$6:$P173)," / ",SUM($P$6:$P$370))</f>
        <v>5750 / 30850</v>
      </c>
    </row>
    <row r="174" spans="2:19" ht="13" thickBot="1">
      <c r="B174" s="238">
        <f t="shared" ref="B174" si="22">B173+1</f>
        <v>42208</v>
      </c>
      <c r="C174" s="124">
        <f t="shared" si="14"/>
        <v>30</v>
      </c>
      <c r="D174" s="124">
        <f t="shared" si="12"/>
        <v>7</v>
      </c>
      <c r="E174" s="28">
        <v>14</v>
      </c>
      <c r="F174" s="27" t="s">
        <v>507</v>
      </c>
      <c r="G174" s="124"/>
      <c r="H174" s="28" t="str">
        <f>CONCATENATE(SUMIF($C$6:$C174,C174,$E$6:$E$370)," / ",SUMIF($C$6:$C$370,C174,$E$6:$E$370))</f>
        <v>41,5 / 56,5</v>
      </c>
      <c r="I174" s="28" t="str">
        <f>CONCATENATE(SUMIF($D$6:$D174,D174,$E$6:$E$370)," / ",SUMIF($D$6:$D$370,D174,$E$6:$E$370))</f>
        <v>106,5 / 131,5</v>
      </c>
      <c r="J174" s="28" t="str">
        <f>CONCATENATE(SUM($E$6:$E174)," / ",SUM($E$6:$E$370))</f>
        <v>1170,5 / 2271</v>
      </c>
      <c r="K174" s="24" t="s">
        <v>477</v>
      </c>
      <c r="L174" s="28" t="str">
        <f>CONCATENATE(SUMIF($C$6:$C174,C174,$G$6:$G$370)," / ",SUMIF($C$6:$C$370,C174,$G$6:$G$370))</f>
        <v>95 / 120</v>
      </c>
      <c r="M174" s="28" t="str">
        <f>CONCATENATE(SUMIF($D$6:$D174,D174,$G$6:$G$370)," / ",SUMIF($D$6:$D$370,D174,$G$6:$G$370))</f>
        <v>339 / 449</v>
      </c>
      <c r="N174" s="28" t="str">
        <f>CONCATENATE(SUM($G$6:$G174)," / ",SUM($G$6:$G$370))</f>
        <v>791 / 2244,5</v>
      </c>
      <c r="O174" s="24"/>
      <c r="P174" s="224">
        <v>0</v>
      </c>
      <c r="Q174" s="28" t="str">
        <f>CONCATENATE(SUMIF($C$6:$C174,C174,$P$6:$P$370)," / ",SUMIF($C$6:$C$370,C174,$P$6:$P$370))</f>
        <v>3000 / 5000</v>
      </c>
      <c r="R174" s="28" t="str">
        <f>CONCATENATE(SUMIF($D$6:$D174,$D174,$P$6:$P$370)," / ",SUMIF($D$6:$D$370,$D174,$P$6:$P$370))</f>
        <v>5750 / 13250</v>
      </c>
      <c r="S174" s="28" t="str">
        <f>CONCATENATE(SUM($P$6:$P174)," / ",SUM($P$6:$P$370))</f>
        <v>5750 / 30850</v>
      </c>
    </row>
    <row r="175" spans="2:19" ht="13" thickBot="1">
      <c r="B175" s="238">
        <f t="shared" ref="B175" si="23">B174+1</f>
        <v>42209</v>
      </c>
      <c r="C175" s="124">
        <f t="shared" si="14"/>
        <v>30</v>
      </c>
      <c r="D175" s="124">
        <f t="shared" si="12"/>
        <v>7</v>
      </c>
      <c r="E175" s="28">
        <v>0</v>
      </c>
      <c r="F175" s="27" t="s">
        <v>506</v>
      </c>
      <c r="G175" s="124">
        <v>15</v>
      </c>
      <c r="H175" s="28" t="str">
        <f>CONCATENATE(SUMIF($C$6:$C175,C175,$E$6:$E$370)," / ",SUMIF($C$6:$C$370,C175,$E$6:$E$370))</f>
        <v>41,5 / 56,5</v>
      </c>
      <c r="I175" s="28" t="str">
        <f>CONCATENATE(SUMIF($D$6:$D175,D175,$E$6:$E$370)," / ",SUMIF($D$6:$D$370,D175,$E$6:$E$370))</f>
        <v>106,5 / 131,5</v>
      </c>
      <c r="J175" s="28" t="str">
        <f>CONCATENATE(SUM($E$6:$E175)," / ",SUM($E$6:$E$370))</f>
        <v>1170,5 / 2271</v>
      </c>
      <c r="K175" s="24"/>
      <c r="L175" s="28" t="str">
        <f>CONCATENATE(SUMIF($C$6:$C175,C175,$G$6:$G$370)," / ",SUMIF($C$6:$C$370,C175,$G$6:$G$370))</f>
        <v>110 / 120</v>
      </c>
      <c r="M175" s="28" t="str">
        <f>CONCATENATE(SUMIF($D$6:$D175,D175,$G$6:$G$370)," / ",SUMIF($D$6:$D$370,D175,$G$6:$G$370))</f>
        <v>354 / 449</v>
      </c>
      <c r="N175" s="28" t="str">
        <f>CONCATENATE(SUM($G$6:$G175)," / ",SUM($G$6:$G$370))</f>
        <v>806 / 2244,5</v>
      </c>
      <c r="O175" s="25" t="s">
        <v>489</v>
      </c>
      <c r="P175" s="224">
        <v>2000</v>
      </c>
      <c r="Q175" s="28" t="str">
        <f>CONCATENATE(SUMIF($C$6:$C175,C175,$P$6:$P$370)," / ",SUMIF($C$6:$C$370,C175,$P$6:$P$370))</f>
        <v>5000 / 5000</v>
      </c>
      <c r="R175" s="28" t="str">
        <f>CONCATENATE(SUMIF($D$6:$D175,$D175,$P$6:$P$370)," / ",SUMIF($D$6:$D$370,$D175,$P$6:$P$370))</f>
        <v>7750 / 13250</v>
      </c>
      <c r="S175" s="28" t="str">
        <f>CONCATENATE(SUM($P$6:$P175)," / ",SUM($P$6:$P$370))</f>
        <v>7750 / 30850</v>
      </c>
    </row>
    <row r="176" spans="2:19" ht="13" thickBot="1">
      <c r="B176" s="238">
        <f t="shared" ref="B176" si="24">B175+1</f>
        <v>42210</v>
      </c>
      <c r="C176" s="124">
        <f t="shared" si="14"/>
        <v>30</v>
      </c>
      <c r="D176" s="124">
        <f t="shared" si="12"/>
        <v>7</v>
      </c>
      <c r="E176" s="28">
        <v>15</v>
      </c>
      <c r="F176" s="27" t="s">
        <v>508</v>
      </c>
      <c r="G176" s="124">
        <v>10</v>
      </c>
      <c r="H176" s="28" t="str">
        <f>CONCATENATE(SUMIF($C$6:$C176,C176,$E$6:$E$370)," / ",SUMIF($C$6:$C$370,C176,$E$6:$E$370))</f>
        <v>56,5 / 56,5</v>
      </c>
      <c r="I176" s="28" t="str">
        <f>CONCATENATE(SUMIF($D$6:$D176,D176,$E$6:$E$370)," / ",SUMIF($D$6:$D$370,D176,$E$6:$E$370))</f>
        <v>121,5 / 131,5</v>
      </c>
      <c r="J176" s="28" t="str">
        <f>CONCATENATE(SUM($E$6:$E176)," / ",SUM($E$6:$E$370))</f>
        <v>1185,5 / 2271</v>
      </c>
      <c r="K176" s="25" t="s">
        <v>477</v>
      </c>
      <c r="L176" s="28" t="str">
        <f>CONCATENATE(SUMIF($C$6:$C176,C176,$G$6:$G$370)," / ",SUMIF($C$6:$C$370,C176,$G$6:$G$370))</f>
        <v>120 / 120</v>
      </c>
      <c r="M176" s="28" t="str">
        <f>CONCATENATE(SUMIF($D$6:$D176,D176,$G$6:$G$370)," / ",SUMIF($D$6:$D$370,D176,$G$6:$G$370))</f>
        <v>364 / 449</v>
      </c>
      <c r="N176" s="28" t="str">
        <f>CONCATENATE(SUM($G$6:$G176)," / ",SUM($G$6:$G$370))</f>
        <v>816 / 2244,5</v>
      </c>
      <c r="O176" s="24" t="s">
        <v>489</v>
      </c>
      <c r="P176" s="224">
        <v>0</v>
      </c>
      <c r="Q176" s="28" t="str">
        <f>CONCATENATE(SUMIF($C$6:$C176,C176,$P$6:$P$370)," / ",SUMIF($C$6:$C$370,C176,$P$6:$P$370))</f>
        <v>5000 / 5000</v>
      </c>
      <c r="R176" s="28" t="str">
        <f>CONCATENATE(SUMIF($D$6:$D176,$D176,$P$6:$P$370)," / ",SUMIF($D$6:$D$370,$D176,$P$6:$P$370))</f>
        <v>7750 / 13250</v>
      </c>
      <c r="S176" s="28" t="str">
        <f>CONCATENATE(SUM($P$6:$P176)," / ",SUM($P$6:$P$370))</f>
        <v>7750 / 30850</v>
      </c>
    </row>
    <row r="177" spans="2:19" ht="13" thickBot="1">
      <c r="B177" s="238">
        <f t="shared" ref="B177" si="25">B176+1</f>
        <v>42211</v>
      </c>
      <c r="C177" s="124">
        <f t="shared" si="14"/>
        <v>31</v>
      </c>
      <c r="D177" s="124">
        <f t="shared" si="12"/>
        <v>7</v>
      </c>
      <c r="E177" s="28">
        <v>0</v>
      </c>
      <c r="F177" s="27" t="s">
        <v>509</v>
      </c>
      <c r="G177" s="124">
        <v>15</v>
      </c>
      <c r="H177" s="28" t="str">
        <f>CONCATENATE(SUMIF($C$6:$C177,C177,$E$6:$E$370)," / ",SUMIF($C$6:$C$370,C177,$E$6:$E$370))</f>
        <v>0 / 27</v>
      </c>
      <c r="I177" s="28" t="str">
        <f>CONCATENATE(SUMIF($D$6:$D177,D177,$E$6:$E$370)," / ",SUMIF($D$6:$D$370,D177,$E$6:$E$370))</f>
        <v>121,5 / 131,5</v>
      </c>
      <c r="J177" s="28" t="str">
        <f>CONCATENATE(SUM($E$6:$E177)," / ",SUM($E$6:$E$370))</f>
        <v>1185,5 / 2271</v>
      </c>
      <c r="K177" s="24"/>
      <c r="L177" s="28" t="str">
        <f>CONCATENATE(SUMIF($C$6:$C177,C177,$G$6:$G$370)," / ",SUMIF($C$6:$C$370,C177,$G$6:$G$370))</f>
        <v>15 / 110</v>
      </c>
      <c r="M177" s="28" t="str">
        <f>CONCATENATE(SUMIF($D$6:$D177,D177,$G$6:$G$370)," / ",SUMIF($D$6:$D$370,D177,$G$6:$G$370))</f>
        <v>379 / 449</v>
      </c>
      <c r="N177" s="28" t="str">
        <f>CONCATENATE(SUM($G$6:$G177)," / ",SUM($G$6:$G$370))</f>
        <v>831 / 2244,5</v>
      </c>
      <c r="O177" s="24" t="s">
        <v>489</v>
      </c>
      <c r="P177" s="224">
        <v>2500</v>
      </c>
      <c r="Q177" s="28" t="str">
        <f>CONCATENATE(SUMIF($C$6:$C177,C177,$P$6:$P$370)," / ",SUMIF($C$6:$C$370,C177,$P$6:$P$370))</f>
        <v>2500 / 5500</v>
      </c>
      <c r="R177" s="28" t="str">
        <f>CONCATENATE(SUMIF($D$6:$D177,$D177,$P$6:$P$370)," / ",SUMIF($D$6:$D$370,$D177,$P$6:$P$370))</f>
        <v>10250 / 13250</v>
      </c>
      <c r="S177" s="28" t="str">
        <f>CONCATENATE(SUM($P$6:$P177)," / ",SUM($P$6:$P$370))</f>
        <v>10250 / 30850</v>
      </c>
    </row>
    <row r="178" spans="2:19" ht="13" thickBot="1">
      <c r="B178" s="238">
        <f t="shared" ref="B178" si="26">B177+1</f>
        <v>42212</v>
      </c>
      <c r="C178" s="124">
        <f t="shared" si="14"/>
        <v>31</v>
      </c>
      <c r="D178" s="124">
        <f t="shared" si="12"/>
        <v>7</v>
      </c>
      <c r="E178" s="28">
        <v>10</v>
      </c>
      <c r="F178" s="27" t="s">
        <v>511</v>
      </c>
      <c r="G178" s="124">
        <v>10</v>
      </c>
      <c r="H178" s="28" t="str">
        <f>CONCATENATE(SUMIF($C$6:$C178,C178,$E$6:$E$370)," / ",SUMIF($C$6:$C$370,C178,$E$6:$E$370))</f>
        <v>10 / 27</v>
      </c>
      <c r="I178" s="28" t="str">
        <f>CONCATENATE(SUMIF($D$6:$D178,D178,$E$6:$E$370)," / ",SUMIF($D$6:$D$370,D178,$E$6:$E$370))</f>
        <v>131,5 / 131,5</v>
      </c>
      <c r="J178" s="28" t="str">
        <f>CONCATENATE(SUM($E$6:$E178)," / ",SUM($E$6:$E$370))</f>
        <v>1195,5 / 2271</v>
      </c>
      <c r="K178" s="24"/>
      <c r="L178" s="28" t="str">
        <f>CONCATENATE(SUMIF($C$6:$C178,C178,$G$6:$G$370)," / ",SUMIF($C$6:$C$370,C178,$G$6:$G$370))</f>
        <v>25 / 110</v>
      </c>
      <c r="M178" s="28" t="str">
        <f>CONCATENATE(SUMIF($D$6:$D178,D178,$G$6:$G$370)," / ",SUMIF($D$6:$D$370,D178,$G$6:$G$370))</f>
        <v>389 / 449</v>
      </c>
      <c r="N178" s="28" t="str">
        <f>CONCATENATE(SUM($G$6:$G178)," / ",SUM($G$6:$G$370))</f>
        <v>841 / 2244,5</v>
      </c>
      <c r="O178" s="24" t="s">
        <v>489</v>
      </c>
      <c r="P178" s="224">
        <v>0</v>
      </c>
      <c r="Q178" s="28" t="str">
        <f>CONCATENATE(SUMIF($C$6:$C178,C178,$P$6:$P$370)," / ",SUMIF($C$6:$C$370,C178,$P$6:$P$370))</f>
        <v>2500 / 5500</v>
      </c>
      <c r="R178" s="28" t="str">
        <f>CONCATENATE(SUMIF($D$6:$D178,$D178,$P$6:$P$370)," / ",SUMIF($D$6:$D$370,$D178,$P$6:$P$370))</f>
        <v>10250 / 13250</v>
      </c>
      <c r="S178" s="28" t="str">
        <f>CONCATENATE(SUM($P$6:$P178)," / ",SUM($P$6:$P$370))</f>
        <v>10250 / 30850</v>
      </c>
    </row>
    <row r="179" spans="2:19" ht="13" thickBot="1">
      <c r="B179" s="238">
        <f t="shared" ref="B179" si="27">B178+1</f>
        <v>42213</v>
      </c>
      <c r="C179" s="124">
        <f t="shared" si="14"/>
        <v>31</v>
      </c>
      <c r="D179" s="124">
        <f t="shared" si="12"/>
        <v>7</v>
      </c>
      <c r="E179" s="28">
        <v>0</v>
      </c>
      <c r="F179" s="27" t="s">
        <v>509</v>
      </c>
      <c r="G179" s="124"/>
      <c r="H179" s="28" t="str">
        <f>CONCATENATE(SUMIF($C$6:$C179,C179,$E$6:$E$370)," / ",SUMIF($C$6:$C$370,C179,$E$6:$E$370))</f>
        <v>10 / 27</v>
      </c>
      <c r="I179" s="28" t="str">
        <f>CONCATENATE(SUMIF($D$6:$D179,D179,$E$6:$E$370)," / ",SUMIF($D$6:$D$370,D179,$E$6:$E$370))</f>
        <v>131,5 / 131,5</v>
      </c>
      <c r="J179" s="28" t="str">
        <f>CONCATENATE(SUM($E$6:$E179)," / ",SUM($E$6:$E$370))</f>
        <v>1195,5 / 2271</v>
      </c>
      <c r="K179" s="24"/>
      <c r="L179" s="28" t="str">
        <f>CONCATENATE(SUMIF($C$6:$C179,C179,$G$6:$G$370)," / ",SUMIF($C$6:$C$370,C179,$G$6:$G$370))</f>
        <v>25 / 110</v>
      </c>
      <c r="M179" s="28" t="str">
        <f>CONCATENATE(SUMIF($D$6:$D179,D179,$G$6:$G$370)," / ",SUMIF($D$6:$D$370,D179,$G$6:$G$370))</f>
        <v>389 / 449</v>
      </c>
      <c r="N179" s="28" t="str">
        <f>CONCATENATE(SUM($G$6:$G179)," / ",SUM($G$6:$G$370))</f>
        <v>841 / 2244,5</v>
      </c>
      <c r="O179" s="24"/>
      <c r="P179" s="224">
        <v>3000</v>
      </c>
      <c r="Q179" s="28" t="str">
        <f>CONCATENATE(SUMIF($C$6:$C179,C179,$P$6:$P$370)," / ",SUMIF($C$6:$C$370,C179,$P$6:$P$370))</f>
        <v>5500 / 5500</v>
      </c>
      <c r="R179" s="28" t="str">
        <f>CONCATENATE(SUMIF($D$6:$D179,$D179,$P$6:$P$370)," / ",SUMIF($D$6:$D$370,$D179,$P$6:$P$370))</f>
        <v>13250 / 13250</v>
      </c>
      <c r="S179" s="28" t="str">
        <f>CONCATENATE(SUM($P$6:$P179)," / ",SUM($P$6:$P$370))</f>
        <v>13250 / 30850</v>
      </c>
    </row>
    <row r="180" spans="2:19" ht="13" thickBot="1">
      <c r="B180" s="238">
        <f t="shared" ref="B180" si="28">B179+1</f>
        <v>42214</v>
      </c>
      <c r="C180" s="124">
        <f t="shared" si="14"/>
        <v>31</v>
      </c>
      <c r="D180" s="124">
        <f t="shared" si="12"/>
        <v>7</v>
      </c>
      <c r="E180" s="28">
        <v>0</v>
      </c>
      <c r="F180" s="27" t="s">
        <v>514</v>
      </c>
      <c r="G180" s="124">
        <v>60</v>
      </c>
      <c r="H180" s="28" t="str">
        <f>CONCATENATE(SUMIF($C$6:$C180,C180,$E$6:$E$370)," / ",SUMIF($C$6:$C$370,C180,$E$6:$E$370))</f>
        <v>10 / 27</v>
      </c>
      <c r="I180" s="28" t="str">
        <f>CONCATENATE(SUMIF($D$6:$D180,D180,$E$6:$E$370)," / ",SUMIF($D$6:$D$370,D180,$E$6:$E$370))</f>
        <v>131,5 / 131,5</v>
      </c>
      <c r="J180" s="28" t="str">
        <f>CONCATENATE(SUM($E$6:$E180)," / ",SUM($E$6:$E$370))</f>
        <v>1195,5 / 2271</v>
      </c>
      <c r="K180" s="24"/>
      <c r="L180" s="28" t="str">
        <f>CONCATENATE(SUMIF($C$6:$C180,C180,$G$6:$G$370)," / ",SUMIF($C$6:$C$370,C180,$G$6:$G$370))</f>
        <v>85 / 110</v>
      </c>
      <c r="M180" s="28" t="str">
        <f>CONCATENATE(SUMIF($D$6:$D180,D180,$G$6:$G$370)," / ",SUMIF($D$6:$D$370,D180,$G$6:$G$370))</f>
        <v>449 / 449</v>
      </c>
      <c r="N180" s="28" t="str">
        <f>CONCATENATE(SUM($G$6:$G180)," / ",SUM($G$6:$G$370))</f>
        <v>901 / 2244,5</v>
      </c>
      <c r="O180" s="24" t="s">
        <v>487</v>
      </c>
      <c r="P180" s="224">
        <v>0</v>
      </c>
      <c r="Q180" s="28" t="str">
        <f>CONCATENATE(SUMIF($C$6:$C180,C180,$P$6:$P$370)," / ",SUMIF($C$6:$C$370,C180,$P$6:$P$370))</f>
        <v>5500 / 5500</v>
      </c>
      <c r="R180" s="28" t="str">
        <f>CONCATENATE(SUMIF($D$6:$D180,$D180,$P$6:$P$370)," / ",SUMIF($D$6:$D$370,$D180,$P$6:$P$370))</f>
        <v>13250 / 13250</v>
      </c>
      <c r="S180" s="28" t="str">
        <f>CONCATENATE(SUM($P$6:$P180)," / ",SUM($P$6:$P$370))</f>
        <v>13250 / 30850</v>
      </c>
    </row>
    <row r="181" spans="2:19" ht="13" thickBot="1">
      <c r="B181" s="238">
        <f t="shared" ref="B181" si="29">B180+1</f>
        <v>42215</v>
      </c>
      <c r="C181" s="124">
        <f t="shared" si="14"/>
        <v>31</v>
      </c>
      <c r="D181" s="124">
        <f t="shared" si="12"/>
        <v>7</v>
      </c>
      <c r="E181" s="28">
        <v>0</v>
      </c>
      <c r="F181" s="192"/>
      <c r="G181" s="124"/>
      <c r="H181" s="28" t="str">
        <f>CONCATENATE(SUMIF($C$6:$C181,C181,$E$6:$E$370)," / ",SUMIF($C$6:$C$370,C181,$E$6:$E$370))</f>
        <v>10 / 27</v>
      </c>
      <c r="I181" s="28" t="str">
        <f>CONCATENATE(SUMIF($D$6:$D181,D181,$E$6:$E$370)," / ",SUMIF($D$6:$D$370,D181,$E$6:$E$370))</f>
        <v>131,5 / 131,5</v>
      </c>
      <c r="J181" s="28" t="str">
        <f>CONCATENATE(SUM($E$6:$E181)," / ",SUM($E$6:$E$370))</f>
        <v>1195,5 / 2271</v>
      </c>
      <c r="K181" s="24"/>
      <c r="L181" s="28" t="str">
        <f>CONCATENATE(SUMIF($C$6:$C181,C181,$G$6:$G$370)," / ",SUMIF($C$6:$C$370,C181,$G$6:$G$370))</f>
        <v>85 / 110</v>
      </c>
      <c r="M181" s="28" t="str">
        <f>CONCATENATE(SUMIF($D$6:$D181,D181,$G$6:$G$370)," / ",SUMIF($D$6:$D$370,D181,$G$6:$G$370))</f>
        <v>449 / 449</v>
      </c>
      <c r="N181" s="28" t="str">
        <f>CONCATENATE(SUM($G$6:$G181)," / ",SUM($G$6:$G$370))</f>
        <v>901 / 2244,5</v>
      </c>
      <c r="O181" s="24"/>
      <c r="P181" s="224">
        <v>0</v>
      </c>
      <c r="Q181" s="28" t="str">
        <f>CONCATENATE(SUMIF($C$6:$C181,C181,$P$6:$P$370)," / ",SUMIF($C$6:$C$370,C181,$P$6:$P$370))</f>
        <v>5500 / 5500</v>
      </c>
      <c r="R181" s="28" t="str">
        <f>CONCATENATE(SUMIF($D$6:$D181,$D181,$P$6:$P$370)," / ",SUMIF($D$6:$D$370,$D181,$P$6:$P$370))</f>
        <v>13250 / 13250</v>
      </c>
      <c r="S181" s="28" t="str">
        <f>CONCATENATE(SUM($P$6:$P181)," / ",SUM($P$6:$P$370))</f>
        <v>13250 / 30850</v>
      </c>
    </row>
    <row r="182" spans="2:19" ht="13" thickBot="1">
      <c r="B182" s="238">
        <f t="shared" ref="B182" si="30">B181+1</f>
        <v>42216</v>
      </c>
      <c r="C182" s="124">
        <f t="shared" si="14"/>
        <v>31</v>
      </c>
      <c r="D182" s="124">
        <f t="shared" si="12"/>
        <v>7</v>
      </c>
      <c r="E182" s="28">
        <v>0</v>
      </c>
      <c r="F182" s="192"/>
      <c r="G182" s="124"/>
      <c r="H182" s="28" t="str">
        <f>CONCATENATE(SUMIF($C$6:$C182,C182,$E$6:$E$370)," / ",SUMIF($C$6:$C$370,C182,$E$6:$E$370))</f>
        <v>10 / 27</v>
      </c>
      <c r="I182" s="28" t="str">
        <f>CONCATENATE(SUMIF($D$6:$D182,D182,$E$6:$E$370)," / ",SUMIF($D$6:$D$370,D182,$E$6:$E$370))</f>
        <v>131,5 / 131,5</v>
      </c>
      <c r="J182" s="28" t="str">
        <f>CONCATENATE(SUM($E$6:$E182)," / ",SUM($E$6:$E$370))</f>
        <v>1195,5 / 2271</v>
      </c>
      <c r="K182" s="24"/>
      <c r="L182" s="28" t="str">
        <f>CONCATENATE(SUMIF($C$6:$C182,C182,$G$6:$G$370)," / ",SUMIF($C$6:$C$370,C182,$G$6:$G$370))</f>
        <v>85 / 110</v>
      </c>
      <c r="M182" s="28" t="str">
        <f>CONCATENATE(SUMIF($D$6:$D182,D182,$G$6:$G$370)," / ",SUMIF($D$6:$D$370,D182,$G$6:$G$370))</f>
        <v>449 / 449</v>
      </c>
      <c r="N182" s="28" t="str">
        <f>CONCATENATE(SUM($G$6:$G182)," / ",SUM($G$6:$G$370))</f>
        <v>901 / 2244,5</v>
      </c>
      <c r="O182" s="24"/>
      <c r="P182" s="224">
        <v>0</v>
      </c>
      <c r="Q182" s="28" t="str">
        <f>CONCATENATE(SUMIF($C$6:$C182,C182,$P$6:$P$370)," / ",SUMIF($C$6:$C$370,C182,$P$6:$P$370))</f>
        <v>5500 / 5500</v>
      </c>
      <c r="R182" s="28" t="str">
        <f>CONCATENATE(SUMIF($D$6:$D182,$D182,$P$6:$P$370)," / ",SUMIF($D$6:$D$370,$D182,$P$6:$P$370))</f>
        <v>13250 / 13250</v>
      </c>
      <c r="S182" s="28" t="str">
        <f>CONCATENATE(SUM($P$6:$P182)," / ",SUM($P$6:$P$370))</f>
        <v>13250 / 30850</v>
      </c>
    </row>
    <row r="183" spans="2:19" ht="13" thickBot="1">
      <c r="B183" s="238">
        <f t="shared" ref="B183" si="31">B182+1</f>
        <v>42217</v>
      </c>
      <c r="C183" s="124">
        <f t="shared" si="14"/>
        <v>31</v>
      </c>
      <c r="D183" s="124">
        <f t="shared" si="12"/>
        <v>8</v>
      </c>
      <c r="E183" s="28">
        <v>17</v>
      </c>
      <c r="F183" s="27" t="s">
        <v>515</v>
      </c>
      <c r="G183" s="124">
        <v>25</v>
      </c>
      <c r="H183" s="28" t="str">
        <f>CONCATENATE(SUMIF($C$6:$C183,C183,$E$6:$E$370)," / ",SUMIF($C$6:$C$370,C183,$E$6:$E$370))</f>
        <v>27 / 27</v>
      </c>
      <c r="I183" s="28" t="str">
        <f>CONCATENATE(SUMIF($D$6:$D183,D183,$E$6:$E$370)," / ",SUMIF($D$6:$D$370,D183,$E$6:$E$370))</f>
        <v>17 / 221</v>
      </c>
      <c r="J183" s="28" t="str">
        <f>CONCATENATE(SUM($E$6:$E183)," / ",SUM($E$6:$E$370))</f>
        <v>1212,5 / 2271</v>
      </c>
      <c r="K183" s="24" t="s">
        <v>477</v>
      </c>
      <c r="L183" s="28" t="str">
        <f>CONCATENATE(SUMIF($C$6:$C183,C183,$G$6:$G$370)," / ",SUMIF($C$6:$C$370,C183,$G$6:$G$370))</f>
        <v>110 / 110</v>
      </c>
      <c r="M183" s="28" t="str">
        <f>CONCATENATE(SUMIF($D$6:$D183,D183,$G$6:$G$370)," / ",SUMIF($D$6:$D$370,D183,$G$6:$G$370))</f>
        <v>25 / 123</v>
      </c>
      <c r="N183" s="28" t="str">
        <f>CONCATENATE(SUM($G$6:$G183)," / ",SUM($G$6:$G$370))</f>
        <v>926 / 2244,5</v>
      </c>
      <c r="O183" s="24" t="s">
        <v>489</v>
      </c>
      <c r="P183" s="224">
        <v>0</v>
      </c>
      <c r="Q183" s="28" t="str">
        <f>CONCATENATE(SUMIF($C$6:$C183,C183,$P$6:$P$370)," / ",SUMIF($C$6:$C$370,C183,$P$6:$P$370))</f>
        <v>5500 / 5500</v>
      </c>
      <c r="R183" s="28" t="str">
        <f>CONCATENATE(SUMIF($D$6:$D183,$D183,$P$6:$P$370)," / ",SUMIF($D$6:$D$370,$D183,$P$6:$P$370))</f>
        <v>0 / 5200</v>
      </c>
      <c r="S183" s="28" t="str">
        <f>CONCATENATE(SUM($P$6:$P183)," / ",SUM($P$6:$P$370))</f>
        <v>13250 / 30850</v>
      </c>
    </row>
    <row r="184" spans="2:19" ht="13" thickBot="1">
      <c r="B184" s="238">
        <f t="shared" ref="B184" si="32">B183+1</f>
        <v>42218</v>
      </c>
      <c r="C184" s="124">
        <f t="shared" si="14"/>
        <v>32</v>
      </c>
      <c r="D184" s="124">
        <f t="shared" si="12"/>
        <v>8</v>
      </c>
      <c r="E184" s="28">
        <v>0</v>
      </c>
      <c r="F184" s="192"/>
      <c r="G184" s="124"/>
      <c r="H184" s="28" t="str">
        <f>CONCATENATE(SUMIF($C$6:$C184,C184,$E$6:$E$370)," / ",SUMIF($C$6:$C$370,C184,$E$6:$E$370))</f>
        <v>0 / 33</v>
      </c>
      <c r="I184" s="28" t="str">
        <f>CONCATENATE(SUMIF($D$6:$D184,D184,$E$6:$E$370)," / ",SUMIF($D$6:$D$370,D184,$E$6:$E$370))</f>
        <v>17 / 221</v>
      </c>
      <c r="J184" s="28" t="str">
        <f>CONCATENATE(SUM($E$6:$E184)," / ",SUM($E$6:$E$370))</f>
        <v>1212,5 / 2271</v>
      </c>
      <c r="K184" s="24"/>
      <c r="L184" s="28" t="str">
        <f>CONCATENATE(SUMIF($C$6:$C184,C184,$G$6:$G$370)," / ",SUMIF($C$6:$C$370,C184,$G$6:$G$370))</f>
        <v>0 / 0</v>
      </c>
      <c r="M184" s="28" t="str">
        <f>CONCATENATE(SUMIF($D$6:$D184,D184,$G$6:$G$370)," / ",SUMIF($D$6:$D$370,D184,$G$6:$G$370))</f>
        <v>25 / 123</v>
      </c>
      <c r="N184" s="28" t="str">
        <f>CONCATENATE(SUM($G$6:$G184)," / ",SUM($G$6:$G$370))</f>
        <v>926 / 2244,5</v>
      </c>
      <c r="O184" s="24"/>
      <c r="P184" s="224">
        <v>0</v>
      </c>
      <c r="Q184" s="28" t="str">
        <f>CONCATENATE(SUMIF($C$6:$C184,C184,$P$6:$P$370)," / ",SUMIF($C$6:$C$370,C184,$P$6:$P$370))</f>
        <v>0 / 1800</v>
      </c>
      <c r="R184" s="28" t="str">
        <f>CONCATENATE(SUMIF($D$6:$D184,$D184,$P$6:$P$370)," / ",SUMIF($D$6:$D$370,$D184,$P$6:$P$370))</f>
        <v>0 / 5200</v>
      </c>
      <c r="S184" s="28" t="str">
        <f>CONCATENATE(SUM($P$6:$P184)," / ",SUM($P$6:$P$370))</f>
        <v>13250 / 30850</v>
      </c>
    </row>
    <row r="185" spans="2:19" ht="13" thickBot="1">
      <c r="B185" s="238">
        <f t="shared" ref="B185" si="33">B184+1</f>
        <v>42219</v>
      </c>
      <c r="C185" s="124">
        <f t="shared" si="14"/>
        <v>32</v>
      </c>
      <c r="D185" s="124">
        <f t="shared" si="12"/>
        <v>8</v>
      </c>
      <c r="E185" s="28">
        <v>0</v>
      </c>
      <c r="F185" s="192"/>
      <c r="G185" s="124"/>
      <c r="H185" s="28" t="str">
        <f>CONCATENATE(SUMIF($C$6:$C185,C185,$E$6:$E$370)," / ",SUMIF($C$6:$C$370,C185,$E$6:$E$370))</f>
        <v>0 / 33</v>
      </c>
      <c r="I185" s="28" t="str">
        <f>CONCATENATE(SUMIF($D$6:$D185,D185,$E$6:$E$370)," / ",SUMIF($D$6:$D$370,D185,$E$6:$E$370))</f>
        <v>17 / 221</v>
      </c>
      <c r="J185" s="28" t="str">
        <f>CONCATENATE(SUM($E$6:$E185)," / ",SUM($E$6:$E$370))</f>
        <v>1212,5 / 2271</v>
      </c>
      <c r="K185" s="24"/>
      <c r="L185" s="28" t="str">
        <f>CONCATENATE(SUMIF($C$6:$C185,C185,$G$6:$G$370)," / ",SUMIF($C$6:$C$370,C185,$G$6:$G$370))</f>
        <v>0 / 0</v>
      </c>
      <c r="M185" s="28" t="str">
        <f>CONCATENATE(SUMIF($D$6:$D185,D185,$G$6:$G$370)," / ",SUMIF($D$6:$D$370,D185,$G$6:$G$370))</f>
        <v>25 / 123</v>
      </c>
      <c r="N185" s="28" t="str">
        <f>CONCATENATE(SUM($G$6:$G185)," / ",SUM($G$6:$G$370))</f>
        <v>926 / 2244,5</v>
      </c>
      <c r="O185" s="24"/>
      <c r="P185" s="224">
        <v>0</v>
      </c>
      <c r="Q185" s="28" t="str">
        <f>CONCATENATE(SUMIF($C$6:$C185,C185,$P$6:$P$370)," / ",SUMIF($C$6:$C$370,C185,$P$6:$P$370))</f>
        <v>0 / 1800</v>
      </c>
      <c r="R185" s="28" t="str">
        <f>CONCATENATE(SUMIF($D$6:$D185,$D185,$P$6:$P$370)," / ",SUMIF($D$6:$D$370,$D185,$P$6:$P$370))</f>
        <v>0 / 5200</v>
      </c>
      <c r="S185" s="28" t="str">
        <f>CONCATENATE(SUM($P$6:$P185)," / ",SUM($P$6:$P$370))</f>
        <v>13250 / 30850</v>
      </c>
    </row>
    <row r="186" spans="2:19" ht="13" thickBot="1">
      <c r="B186" s="238">
        <f t="shared" ref="B186" si="34">B185+1</f>
        <v>42220</v>
      </c>
      <c r="C186" s="124">
        <f t="shared" si="14"/>
        <v>32</v>
      </c>
      <c r="D186" s="124">
        <f t="shared" si="12"/>
        <v>8</v>
      </c>
      <c r="E186" s="28">
        <v>0</v>
      </c>
      <c r="F186" s="192"/>
      <c r="G186" s="124"/>
      <c r="H186" s="28" t="str">
        <f>CONCATENATE(SUMIF($C$6:$C186,C186,$E$6:$E$370)," / ",SUMIF($C$6:$C$370,C186,$E$6:$E$370))</f>
        <v>0 / 33</v>
      </c>
      <c r="I186" s="28" t="str">
        <f>CONCATENATE(SUMIF($D$6:$D186,D186,$E$6:$E$370)," / ",SUMIF($D$6:$D$370,D186,$E$6:$E$370))</f>
        <v>17 / 221</v>
      </c>
      <c r="J186" s="28" t="str">
        <f>CONCATENATE(SUM($E$6:$E186)," / ",SUM($E$6:$E$370))</f>
        <v>1212,5 / 2271</v>
      </c>
      <c r="K186" s="24"/>
      <c r="L186" s="28" t="str">
        <f>CONCATENATE(SUMIF($C$6:$C186,C186,$G$6:$G$370)," / ",SUMIF($C$6:$C$370,C186,$G$6:$G$370))</f>
        <v>0 / 0</v>
      </c>
      <c r="M186" s="28" t="str">
        <f>CONCATENATE(SUMIF($D$6:$D186,D186,$G$6:$G$370)," / ",SUMIF($D$6:$D$370,D186,$G$6:$G$370))</f>
        <v>25 / 123</v>
      </c>
      <c r="N186" s="28" t="str">
        <f>CONCATENATE(SUM($G$6:$G186)," / ",SUM($G$6:$G$370))</f>
        <v>926 / 2244,5</v>
      </c>
      <c r="O186" s="24"/>
      <c r="P186" s="224">
        <v>0</v>
      </c>
      <c r="Q186" s="28" t="str">
        <f>CONCATENATE(SUMIF($C$6:$C186,C186,$P$6:$P$370)," / ",SUMIF($C$6:$C$370,C186,$P$6:$P$370))</f>
        <v>0 / 1800</v>
      </c>
      <c r="R186" s="28" t="str">
        <f>CONCATENATE(SUMIF($D$6:$D186,$D186,$P$6:$P$370)," / ",SUMIF($D$6:$D$370,$D186,$P$6:$P$370))</f>
        <v>0 / 5200</v>
      </c>
      <c r="S186" s="28" t="str">
        <f>CONCATENATE(SUM($P$6:$P186)," / ",SUM($P$6:$P$370))</f>
        <v>13250 / 30850</v>
      </c>
    </row>
    <row r="187" spans="2:19" ht="13" thickBot="1">
      <c r="B187" s="238">
        <f t="shared" ref="B187" si="35">B186+1</f>
        <v>42221</v>
      </c>
      <c r="C187" s="124">
        <f t="shared" si="14"/>
        <v>32</v>
      </c>
      <c r="D187" s="124">
        <f t="shared" si="12"/>
        <v>8</v>
      </c>
      <c r="E187" s="28">
        <v>0</v>
      </c>
      <c r="F187" s="192"/>
      <c r="G187" s="124"/>
      <c r="H187" s="28" t="str">
        <f>CONCATENATE(SUMIF($C$6:$C187,C187,$E$6:$E$370)," / ",SUMIF($C$6:$C$370,C187,$E$6:$E$370))</f>
        <v>0 / 33</v>
      </c>
      <c r="I187" s="28" t="str">
        <f>CONCATENATE(SUMIF($D$6:$D187,D187,$E$6:$E$370)," / ",SUMIF($D$6:$D$370,D187,$E$6:$E$370))</f>
        <v>17 / 221</v>
      </c>
      <c r="J187" s="28" t="str">
        <f>CONCATENATE(SUM($E$6:$E187)," / ",SUM($E$6:$E$370))</f>
        <v>1212,5 / 2271</v>
      </c>
      <c r="K187" s="24"/>
      <c r="L187" s="28" t="str">
        <f>CONCATENATE(SUMIF($C$6:$C187,C187,$G$6:$G$370)," / ",SUMIF($C$6:$C$370,C187,$G$6:$G$370))</f>
        <v>0 / 0</v>
      </c>
      <c r="M187" s="28" t="str">
        <f>CONCATENATE(SUMIF($D$6:$D187,D187,$G$6:$G$370)," / ",SUMIF($D$6:$D$370,D187,$G$6:$G$370))</f>
        <v>25 / 123</v>
      </c>
      <c r="N187" s="28" t="str">
        <f>CONCATENATE(SUM($G$6:$G187)," / ",SUM($G$6:$G$370))</f>
        <v>926 / 2244,5</v>
      </c>
      <c r="O187" s="24"/>
      <c r="P187" s="224">
        <v>0</v>
      </c>
      <c r="Q187" s="28" t="str">
        <f>CONCATENATE(SUMIF($C$6:$C187,C187,$P$6:$P$370)," / ",SUMIF($C$6:$C$370,C187,$P$6:$P$370))</f>
        <v>0 / 1800</v>
      </c>
      <c r="R187" s="28" t="str">
        <f>CONCATENATE(SUMIF($D$6:$D187,$D187,$P$6:$P$370)," / ",SUMIF($D$6:$D$370,$D187,$P$6:$P$370))</f>
        <v>0 / 5200</v>
      </c>
      <c r="S187" s="28" t="str">
        <f>CONCATENATE(SUM($P$6:$P187)," / ",SUM($P$6:$P$370))</f>
        <v>13250 / 30850</v>
      </c>
    </row>
    <row r="188" spans="2:19" ht="13" thickBot="1">
      <c r="B188" s="238">
        <f t="shared" ref="B188" si="36">B187+1</f>
        <v>42222</v>
      </c>
      <c r="C188" s="124">
        <f t="shared" si="14"/>
        <v>32</v>
      </c>
      <c r="D188" s="124">
        <f t="shared" si="12"/>
        <v>8</v>
      </c>
      <c r="E188" s="28">
        <v>15</v>
      </c>
      <c r="F188" s="27" t="s">
        <v>495</v>
      </c>
      <c r="G188" s="124"/>
      <c r="H188" s="28" t="str">
        <f>CONCATENATE(SUMIF($C$6:$C188,C188,$E$6:$E$370)," / ",SUMIF($C$6:$C$370,C188,$E$6:$E$370))</f>
        <v>15 / 33</v>
      </c>
      <c r="I188" s="28" t="str">
        <f>CONCATENATE(SUMIF($D$6:$D188,D188,$E$6:$E$370)," / ",SUMIF($D$6:$D$370,D188,$E$6:$E$370))</f>
        <v>32 / 221</v>
      </c>
      <c r="J188" s="28" t="str">
        <f>CONCATENATE(SUM($E$6:$E188)," / ",SUM($E$6:$E$370))</f>
        <v>1227,5 / 2271</v>
      </c>
      <c r="K188" s="24" t="s">
        <v>477</v>
      </c>
      <c r="L188" s="28" t="str">
        <f>CONCATENATE(SUMIF($C$6:$C188,C188,$G$6:$G$370)," / ",SUMIF($C$6:$C$370,C188,$G$6:$G$370))</f>
        <v>0 / 0</v>
      </c>
      <c r="M188" s="28" t="str">
        <f>CONCATENATE(SUMIF($D$6:$D188,D188,$G$6:$G$370)," / ",SUMIF($D$6:$D$370,D188,$G$6:$G$370))</f>
        <v>25 / 123</v>
      </c>
      <c r="N188" s="28" t="str">
        <f>CONCATENATE(SUM($G$6:$G188)," / ",SUM($G$6:$G$370))</f>
        <v>926 / 2244,5</v>
      </c>
      <c r="O188" s="24"/>
      <c r="P188" s="224">
        <v>0</v>
      </c>
      <c r="Q188" s="28" t="str">
        <f>CONCATENATE(SUMIF($C$6:$C188,C188,$P$6:$P$370)," / ",SUMIF($C$6:$C$370,C188,$P$6:$P$370))</f>
        <v>0 / 1800</v>
      </c>
      <c r="R188" s="28" t="str">
        <f>CONCATENATE(SUMIF($D$6:$D188,$D188,$P$6:$P$370)," / ",SUMIF($D$6:$D$370,$D188,$P$6:$P$370))</f>
        <v>0 / 5200</v>
      </c>
      <c r="S188" s="28" t="str">
        <f>CONCATENATE(SUM($P$6:$P188)," / ",SUM($P$6:$P$370))</f>
        <v>13250 / 30850</v>
      </c>
    </row>
    <row r="189" spans="2:19" ht="13" thickBot="1">
      <c r="B189" s="238">
        <f t="shared" ref="B189" si="37">B188+1</f>
        <v>42223</v>
      </c>
      <c r="C189" s="124">
        <f t="shared" si="14"/>
        <v>32</v>
      </c>
      <c r="D189" s="124">
        <f t="shared" si="12"/>
        <v>8</v>
      </c>
      <c r="E189" s="28">
        <v>0</v>
      </c>
      <c r="F189" s="27" t="s">
        <v>516</v>
      </c>
      <c r="G189" s="124"/>
      <c r="H189" s="28" t="str">
        <f>CONCATENATE(SUMIF($C$6:$C189,C189,$E$6:$E$370)," / ",SUMIF($C$6:$C$370,C189,$E$6:$E$370))</f>
        <v>15 / 33</v>
      </c>
      <c r="I189" s="28" t="str">
        <f>CONCATENATE(SUMIF($D$6:$D189,D189,$E$6:$E$370)," / ",SUMIF($D$6:$D$370,D189,$E$6:$E$370))</f>
        <v>32 / 221</v>
      </c>
      <c r="J189" s="28" t="str">
        <f>CONCATENATE(SUM($E$6:$E189)," / ",SUM($E$6:$E$370))</f>
        <v>1227,5 / 2271</v>
      </c>
      <c r="K189" s="24"/>
      <c r="L189" s="28" t="str">
        <f>CONCATENATE(SUMIF($C$6:$C189,C189,$G$6:$G$370)," / ",SUMIF($C$6:$C$370,C189,$G$6:$G$370))</f>
        <v>0 / 0</v>
      </c>
      <c r="M189" s="28" t="str">
        <f>CONCATENATE(SUMIF($D$6:$D189,D189,$G$6:$G$370)," / ",SUMIF($D$6:$D$370,D189,$G$6:$G$370))</f>
        <v>25 / 123</v>
      </c>
      <c r="N189" s="28" t="str">
        <f>CONCATENATE(SUM($G$6:$G189)," / ",SUM($G$6:$G$370))</f>
        <v>926 / 2244,5</v>
      </c>
      <c r="O189" s="24"/>
      <c r="P189" s="224">
        <v>1800</v>
      </c>
      <c r="Q189" s="28" t="str">
        <f>CONCATENATE(SUMIF($C$6:$C189,C189,$P$6:$P$370)," / ",SUMIF($C$6:$C$370,C189,$P$6:$P$370))</f>
        <v>1800 / 1800</v>
      </c>
      <c r="R189" s="28" t="str">
        <f>CONCATENATE(SUMIF($D$6:$D189,$D189,$P$6:$P$370)," / ",SUMIF($D$6:$D$370,$D189,$P$6:$P$370))</f>
        <v>1800 / 5200</v>
      </c>
      <c r="S189" s="28" t="str">
        <f>CONCATENATE(SUM($P$6:$P189)," / ",SUM($P$6:$P$370))</f>
        <v>15050 / 30850</v>
      </c>
    </row>
    <row r="190" spans="2:19" ht="13" thickBot="1">
      <c r="B190" s="238">
        <f t="shared" ref="B190" si="38">B189+1</f>
        <v>42224</v>
      </c>
      <c r="C190" s="124">
        <f t="shared" si="14"/>
        <v>32</v>
      </c>
      <c r="D190" s="124">
        <f t="shared" si="12"/>
        <v>8</v>
      </c>
      <c r="E190" s="28">
        <v>18</v>
      </c>
      <c r="F190" s="27" t="s">
        <v>517</v>
      </c>
      <c r="G190" s="124"/>
      <c r="H190" s="28" t="str">
        <f>CONCATENATE(SUMIF($C$6:$C190,C190,$E$6:$E$370)," / ",SUMIF($C$6:$C$370,C190,$E$6:$E$370))</f>
        <v>33 / 33</v>
      </c>
      <c r="I190" s="28" t="str">
        <f>CONCATENATE(SUMIF($D$6:$D190,D190,$E$6:$E$370)," / ",SUMIF($D$6:$D$370,D190,$E$6:$E$370))</f>
        <v>50 / 221</v>
      </c>
      <c r="J190" s="28" t="str">
        <f>CONCATENATE(SUM($E$6:$E190)," / ",SUM($E$6:$E$370))</f>
        <v>1245,5 / 2271</v>
      </c>
      <c r="K190" s="25" t="s">
        <v>477</v>
      </c>
      <c r="L190" s="28" t="str">
        <f>CONCATENATE(SUMIF($C$6:$C190,C190,$G$6:$G$370)," / ",SUMIF($C$6:$C$370,C190,$G$6:$G$370))</f>
        <v>0 / 0</v>
      </c>
      <c r="M190" s="28" t="str">
        <f>CONCATENATE(SUMIF($D$6:$D190,D190,$G$6:$G$370)," / ",SUMIF($D$6:$D$370,D190,$G$6:$G$370))</f>
        <v>25 / 123</v>
      </c>
      <c r="N190" s="28" t="str">
        <f>CONCATENATE(SUM($G$6:$G190)," / ",SUM($G$6:$G$370))</f>
        <v>926 / 2244,5</v>
      </c>
      <c r="O190" s="24"/>
      <c r="P190" s="224">
        <v>0</v>
      </c>
      <c r="Q190" s="28" t="str">
        <f>CONCATENATE(SUMIF($C$6:$C190,C190,$P$6:$P$370)," / ",SUMIF($C$6:$C$370,C190,$P$6:$P$370))</f>
        <v>1800 / 1800</v>
      </c>
      <c r="R190" s="28" t="str">
        <f>CONCATENATE(SUMIF($D$6:$D190,$D190,$P$6:$P$370)," / ",SUMIF($D$6:$D$370,$D190,$P$6:$P$370))</f>
        <v>1800 / 5200</v>
      </c>
      <c r="S190" s="28" t="str">
        <f>CONCATENATE(SUM($P$6:$P190)," / ",SUM($P$6:$P$370))</f>
        <v>15050 / 30850</v>
      </c>
    </row>
    <row r="191" spans="2:19" ht="13" thickBot="1">
      <c r="B191" s="238">
        <f t="shared" ref="B191" si="39">B190+1</f>
        <v>42225</v>
      </c>
      <c r="C191" s="124">
        <f t="shared" si="14"/>
        <v>33</v>
      </c>
      <c r="D191" s="124">
        <f t="shared" si="12"/>
        <v>8</v>
      </c>
      <c r="E191" s="28">
        <v>0</v>
      </c>
      <c r="F191" s="192"/>
      <c r="G191" s="124"/>
      <c r="H191" s="28" t="str">
        <f>CONCATENATE(SUMIF($C$6:$C191,C191,$E$6:$E$370)," / ",SUMIF($C$6:$C$370,C191,$E$6:$E$370))</f>
        <v>0 / 36</v>
      </c>
      <c r="I191" s="28" t="str">
        <f>CONCATENATE(SUMIF($D$6:$D191,D191,$E$6:$E$370)," / ",SUMIF($D$6:$D$370,D191,$E$6:$E$370))</f>
        <v>50 / 221</v>
      </c>
      <c r="J191" s="28" t="str">
        <f>CONCATENATE(SUM($E$6:$E191)," / ",SUM($E$6:$E$370))</f>
        <v>1245,5 / 2271</v>
      </c>
      <c r="K191" s="24"/>
      <c r="L191" s="28" t="str">
        <f>CONCATENATE(SUMIF($C$6:$C191,C191,$G$6:$G$370)," / ",SUMIF($C$6:$C$370,C191,$G$6:$G$370))</f>
        <v>0 / 60</v>
      </c>
      <c r="M191" s="28" t="str">
        <f>CONCATENATE(SUMIF($D$6:$D191,D191,$G$6:$G$370)," / ",SUMIF($D$6:$D$370,D191,$G$6:$G$370))</f>
        <v>25 / 123</v>
      </c>
      <c r="N191" s="28" t="str">
        <f>CONCATENATE(SUM($G$6:$G191)," / ",SUM($G$6:$G$370))</f>
        <v>926 / 2244,5</v>
      </c>
      <c r="O191" s="24"/>
      <c r="P191" s="224">
        <v>0</v>
      </c>
      <c r="Q191" s="28" t="str">
        <f>CONCATENATE(SUMIF($C$6:$C191,C191,$P$6:$P$370)," / ",SUMIF($C$6:$C$370,C191,$P$6:$P$370))</f>
        <v>0 / 3400</v>
      </c>
      <c r="R191" s="28" t="str">
        <f>CONCATENATE(SUMIF($D$6:$D191,$D191,$P$6:$P$370)," / ",SUMIF($D$6:$D$370,$D191,$P$6:$P$370))</f>
        <v>1800 / 5200</v>
      </c>
      <c r="S191" s="28" t="str">
        <f>CONCATENATE(SUM($P$6:$P191)," / ",SUM($P$6:$P$370))</f>
        <v>15050 / 30850</v>
      </c>
    </row>
    <row r="192" spans="2:19" ht="13" thickBot="1">
      <c r="B192" s="238">
        <f t="shared" ref="B192" si="40">B191+1</f>
        <v>42226</v>
      </c>
      <c r="C192" s="124">
        <f t="shared" si="14"/>
        <v>33</v>
      </c>
      <c r="D192" s="124">
        <f t="shared" si="12"/>
        <v>8</v>
      </c>
      <c r="E192" s="28">
        <v>0</v>
      </c>
      <c r="F192" s="192"/>
      <c r="G192" s="124"/>
      <c r="H192" s="28" t="str">
        <f>CONCATENATE(SUMIF($C$6:$C192,C192,$E$6:$E$370)," / ",SUMIF($C$6:$C$370,C192,$E$6:$E$370))</f>
        <v>0 / 36</v>
      </c>
      <c r="I192" s="28" t="str">
        <f>CONCATENATE(SUMIF($D$6:$D192,D192,$E$6:$E$370)," / ",SUMIF($D$6:$D$370,D192,$E$6:$E$370))</f>
        <v>50 / 221</v>
      </c>
      <c r="J192" s="28" t="str">
        <f>CONCATENATE(SUM($E$6:$E192)," / ",SUM($E$6:$E$370))</f>
        <v>1245,5 / 2271</v>
      </c>
      <c r="K192" s="24"/>
      <c r="L192" s="28" t="str">
        <f>CONCATENATE(SUMIF($C$6:$C192,C192,$G$6:$G$370)," / ",SUMIF($C$6:$C$370,C192,$G$6:$G$370))</f>
        <v>0 / 60</v>
      </c>
      <c r="M192" s="28" t="str">
        <f>CONCATENATE(SUMIF($D$6:$D192,D192,$G$6:$G$370)," / ",SUMIF($D$6:$D$370,D192,$G$6:$G$370))</f>
        <v>25 / 123</v>
      </c>
      <c r="N192" s="28" t="str">
        <f>CONCATENATE(SUM($G$6:$G192)," / ",SUM($G$6:$G$370))</f>
        <v>926 / 2244,5</v>
      </c>
      <c r="O192" s="24"/>
      <c r="P192" s="224">
        <v>0</v>
      </c>
      <c r="Q192" s="28" t="str">
        <f>CONCATENATE(SUMIF($C$6:$C192,C192,$P$6:$P$370)," / ",SUMIF($C$6:$C$370,C192,$P$6:$P$370))</f>
        <v>0 / 3400</v>
      </c>
      <c r="R192" s="28" t="str">
        <f>CONCATENATE(SUMIF($D$6:$D192,$D192,$P$6:$P$370)," / ",SUMIF($D$6:$D$370,$D192,$P$6:$P$370))</f>
        <v>1800 / 5200</v>
      </c>
      <c r="S192" s="28" t="str">
        <f>CONCATENATE(SUM($P$6:$P192)," / ",SUM($P$6:$P$370))</f>
        <v>15050 / 30850</v>
      </c>
    </row>
    <row r="193" spans="2:19" ht="13" thickBot="1">
      <c r="B193" s="238">
        <f t="shared" ref="B193" si="41">B192+1</f>
        <v>42227</v>
      </c>
      <c r="C193" s="124">
        <f t="shared" si="14"/>
        <v>33</v>
      </c>
      <c r="D193" s="124">
        <f t="shared" si="12"/>
        <v>8</v>
      </c>
      <c r="E193" s="28">
        <v>0</v>
      </c>
      <c r="F193" s="27" t="s">
        <v>519</v>
      </c>
      <c r="G193" s="124"/>
      <c r="H193" s="28" t="str">
        <f>CONCATENATE(SUMIF($C$6:$C193,C193,$E$6:$E$370)," / ",SUMIF($C$6:$C$370,C193,$E$6:$E$370))</f>
        <v>0 / 36</v>
      </c>
      <c r="I193" s="28" t="str">
        <f>CONCATENATE(SUMIF($D$6:$D193,D193,$E$6:$E$370)," / ",SUMIF($D$6:$D$370,D193,$E$6:$E$370))</f>
        <v>50 / 221</v>
      </c>
      <c r="J193" s="28" t="str">
        <f>CONCATENATE(SUM($E$6:$E193)," / ",SUM($E$6:$E$370))</f>
        <v>1245,5 / 2271</v>
      </c>
      <c r="K193" s="24"/>
      <c r="L193" s="28" t="str">
        <f>CONCATENATE(SUMIF($C$6:$C193,C193,$G$6:$G$370)," / ",SUMIF($C$6:$C$370,C193,$G$6:$G$370))</f>
        <v>0 / 60</v>
      </c>
      <c r="M193" s="28" t="str">
        <f>CONCATENATE(SUMIF($D$6:$D193,D193,$G$6:$G$370)," / ",SUMIF($D$6:$D$370,D193,$G$6:$G$370))</f>
        <v>25 / 123</v>
      </c>
      <c r="N193" s="28" t="str">
        <f>CONCATENATE(SUM($G$6:$G193)," / ",SUM($G$6:$G$370))</f>
        <v>926 / 2244,5</v>
      </c>
      <c r="O193" s="24"/>
      <c r="P193" s="224">
        <v>1400</v>
      </c>
      <c r="Q193" s="28" t="str">
        <f>CONCATENATE(SUMIF($C$6:$C193,C193,$P$6:$P$370)," / ",SUMIF($C$6:$C$370,C193,$P$6:$P$370))</f>
        <v>1400 / 3400</v>
      </c>
      <c r="R193" s="28" t="str">
        <f>CONCATENATE(SUMIF($D$6:$D193,$D193,$P$6:$P$370)," / ",SUMIF($D$6:$D$370,$D193,$P$6:$P$370))</f>
        <v>3200 / 5200</v>
      </c>
      <c r="S193" s="28" t="str">
        <f>CONCATENATE(SUM($P$6:$P193)," / ",SUM($P$6:$P$370))</f>
        <v>16450 / 30850</v>
      </c>
    </row>
    <row r="194" spans="2:19" ht="13" thickBot="1">
      <c r="B194" s="238">
        <f t="shared" ref="B194" si="42">B193+1</f>
        <v>42228</v>
      </c>
      <c r="C194" s="124">
        <f t="shared" si="14"/>
        <v>33</v>
      </c>
      <c r="D194" s="124">
        <f t="shared" si="12"/>
        <v>8</v>
      </c>
      <c r="E194" s="28">
        <v>10</v>
      </c>
      <c r="F194" s="27" t="s">
        <v>521</v>
      </c>
      <c r="G194" s="124">
        <v>60</v>
      </c>
      <c r="H194" s="28" t="str">
        <f>CONCATENATE(SUMIF($C$6:$C194,C194,$E$6:$E$370)," / ",SUMIF($C$6:$C$370,C194,$E$6:$E$370))</f>
        <v>10 / 36</v>
      </c>
      <c r="I194" s="28" t="str">
        <f>CONCATENATE(SUMIF($D$6:$D194,D194,$E$6:$E$370)," / ",SUMIF($D$6:$D$370,D194,$E$6:$E$370))</f>
        <v>60 / 221</v>
      </c>
      <c r="J194" s="28" t="str">
        <f>CONCATENATE(SUM($E$6:$E194)," / ",SUM($E$6:$E$370))</f>
        <v>1255,5 / 2271</v>
      </c>
      <c r="K194" s="24" t="s">
        <v>477</v>
      </c>
      <c r="L194" s="28" t="str">
        <f>CONCATENATE(SUMIF($C$6:$C194,C194,$G$6:$G$370)," / ",SUMIF($C$6:$C$370,C194,$G$6:$G$370))</f>
        <v>60 / 60</v>
      </c>
      <c r="M194" s="28" t="str">
        <f>CONCATENATE(SUMIF($D$6:$D194,D194,$G$6:$G$370)," / ",SUMIF($D$6:$D$370,D194,$G$6:$G$370))</f>
        <v>85 / 123</v>
      </c>
      <c r="N194" s="28" t="str">
        <f>CONCATENATE(SUM($G$6:$G194)," / ",SUM($G$6:$G$370))</f>
        <v>986 / 2244,5</v>
      </c>
      <c r="O194" s="24" t="s">
        <v>489</v>
      </c>
      <c r="P194" s="224">
        <v>2000</v>
      </c>
      <c r="Q194" s="28" t="str">
        <f>CONCATENATE(SUMIF($C$6:$C194,C194,$P$6:$P$370)," / ",SUMIF($C$6:$C$370,C194,$P$6:$P$370))</f>
        <v>3400 / 3400</v>
      </c>
      <c r="R194" s="28" t="str">
        <f>CONCATENATE(SUMIF($D$6:$D194,$D194,$P$6:$P$370)," / ",SUMIF($D$6:$D$370,$D194,$P$6:$P$370))</f>
        <v>5200 / 5200</v>
      </c>
      <c r="S194" s="28" t="str">
        <f>CONCATENATE(SUM($P$6:$P194)," / ",SUM($P$6:$P$370))</f>
        <v>18450 / 30850</v>
      </c>
    </row>
    <row r="195" spans="2:19" ht="13" thickBot="1">
      <c r="B195" s="238">
        <f t="shared" ref="B195" si="43">B194+1</f>
        <v>42229</v>
      </c>
      <c r="C195" s="124">
        <f t="shared" si="14"/>
        <v>33</v>
      </c>
      <c r="D195" s="124">
        <f t="shared" si="12"/>
        <v>8</v>
      </c>
      <c r="E195" s="28">
        <v>0</v>
      </c>
      <c r="F195" s="27" t="s">
        <v>524</v>
      </c>
      <c r="G195" s="124"/>
      <c r="H195" s="28" t="str">
        <f>CONCATENATE(SUMIF($C$6:$C195,C195,$E$6:$E$370)," / ",SUMIF($C$6:$C$370,C195,$E$6:$E$370))</f>
        <v>10 / 36</v>
      </c>
      <c r="I195" s="28" t="str">
        <f>CONCATENATE(SUMIF($D$6:$D195,D195,$E$6:$E$370)," / ",SUMIF($D$6:$D$370,D195,$E$6:$E$370))</f>
        <v>60 / 221</v>
      </c>
      <c r="J195" s="28" t="str">
        <f>CONCATENATE(SUM($E$6:$E195)," / ",SUM($E$6:$E$370))</f>
        <v>1255,5 / 2271</v>
      </c>
      <c r="K195" s="24"/>
      <c r="L195" s="28" t="str">
        <f>CONCATENATE(SUMIF($C$6:$C195,C195,$G$6:$G$370)," / ",SUMIF($C$6:$C$370,C195,$G$6:$G$370))</f>
        <v>60 / 60</v>
      </c>
      <c r="M195" s="28" t="str">
        <f>CONCATENATE(SUMIF($D$6:$D195,D195,$G$6:$G$370)," / ",SUMIF($D$6:$D$370,D195,$G$6:$G$370))</f>
        <v>85 / 123</v>
      </c>
      <c r="N195" s="28" t="str">
        <f>CONCATENATE(SUM($G$6:$G195)," / ",SUM($G$6:$G$370))</f>
        <v>986 / 2244,5</v>
      </c>
      <c r="O195" s="24"/>
      <c r="P195" s="224">
        <v>0</v>
      </c>
      <c r="Q195" s="28" t="str">
        <f>CONCATENATE(SUMIF($C$6:$C195,C195,$P$6:$P$370)," / ",SUMIF($C$6:$C$370,C195,$P$6:$P$370))</f>
        <v>3400 / 3400</v>
      </c>
      <c r="R195" s="28" t="str">
        <f>CONCATENATE(SUMIF($D$6:$D195,$D195,$P$6:$P$370)," / ",SUMIF($D$6:$D$370,$D195,$P$6:$P$370))</f>
        <v>5200 / 5200</v>
      </c>
      <c r="S195" s="28" t="str">
        <f>CONCATENATE(SUM($P$6:$P195)," / ",SUM($P$6:$P$370))</f>
        <v>18450 / 30850</v>
      </c>
    </row>
    <row r="196" spans="2:19" ht="13" thickBot="1">
      <c r="B196" s="238">
        <f t="shared" ref="B196" si="44">B195+1</f>
        <v>42230</v>
      </c>
      <c r="C196" s="124">
        <f t="shared" si="14"/>
        <v>33</v>
      </c>
      <c r="D196" s="124">
        <f t="shared" si="12"/>
        <v>8</v>
      </c>
      <c r="E196" s="28">
        <v>11</v>
      </c>
      <c r="F196" s="27" t="s">
        <v>522</v>
      </c>
      <c r="G196" s="124"/>
      <c r="H196" s="28" t="str">
        <f>CONCATENATE(SUMIF($C$6:$C196,C196,$E$6:$E$370)," / ",SUMIF($C$6:$C$370,C196,$E$6:$E$370))</f>
        <v>21 / 36</v>
      </c>
      <c r="I196" s="28" t="str">
        <f>CONCATENATE(SUMIF($D$6:$D196,D196,$E$6:$E$370)," / ",SUMIF($D$6:$D$370,D196,$E$6:$E$370))</f>
        <v>71 / 221</v>
      </c>
      <c r="J196" s="28" t="str">
        <f>CONCATENATE(SUM($E$6:$E196)," / ",SUM($E$6:$E$370))</f>
        <v>1266,5 / 2271</v>
      </c>
      <c r="K196" s="24" t="s">
        <v>477</v>
      </c>
      <c r="L196" s="28" t="str">
        <f>CONCATENATE(SUMIF($C$6:$C196,C196,$G$6:$G$370)," / ",SUMIF($C$6:$C$370,C196,$G$6:$G$370))</f>
        <v>60 / 60</v>
      </c>
      <c r="M196" s="28" t="str">
        <f>CONCATENATE(SUMIF($D$6:$D196,D196,$G$6:$G$370)," / ",SUMIF($D$6:$D$370,D196,$G$6:$G$370))</f>
        <v>85 / 123</v>
      </c>
      <c r="N196" s="28" t="str">
        <f>CONCATENATE(SUM($G$6:$G196)," / ",SUM($G$6:$G$370))</f>
        <v>986 / 2244,5</v>
      </c>
      <c r="O196" s="24"/>
      <c r="P196" s="224">
        <v>0</v>
      </c>
      <c r="Q196" s="28" t="str">
        <f>CONCATENATE(SUMIF($C$6:$C196,C196,$P$6:$P$370)," / ",SUMIF($C$6:$C$370,C196,$P$6:$P$370))</f>
        <v>3400 / 3400</v>
      </c>
      <c r="R196" s="28" t="str">
        <f>CONCATENATE(SUMIF($D$6:$D196,$D196,$P$6:$P$370)," / ",SUMIF($D$6:$D$370,$D196,$P$6:$P$370))</f>
        <v>5200 / 5200</v>
      </c>
      <c r="S196" s="28" t="str">
        <f>CONCATENATE(SUM($P$6:$P196)," / ",SUM($P$6:$P$370))</f>
        <v>18450 / 30850</v>
      </c>
    </row>
    <row r="197" spans="2:19" ht="13" thickBot="1">
      <c r="B197" s="238">
        <f t="shared" ref="B197" si="45">B196+1</f>
        <v>42231</v>
      </c>
      <c r="C197" s="124">
        <f t="shared" si="14"/>
        <v>33</v>
      </c>
      <c r="D197" s="124">
        <f t="shared" si="12"/>
        <v>8</v>
      </c>
      <c r="E197" s="28">
        <v>15</v>
      </c>
      <c r="F197" s="27" t="s">
        <v>523</v>
      </c>
      <c r="G197" s="124"/>
      <c r="H197" s="28" t="str">
        <f>CONCATENATE(SUMIF($C$6:$C197,C197,$E$6:$E$370)," / ",SUMIF($C$6:$C$370,C197,$E$6:$E$370))</f>
        <v>36 / 36</v>
      </c>
      <c r="I197" s="28" t="str">
        <f>CONCATENATE(SUMIF($D$6:$D197,D197,$E$6:$E$370)," / ",SUMIF($D$6:$D$370,D197,$E$6:$E$370))</f>
        <v>86 / 221</v>
      </c>
      <c r="J197" s="28" t="str">
        <f>CONCATENATE(SUM($E$6:$E197)," / ",SUM($E$6:$E$370))</f>
        <v>1281,5 / 2271</v>
      </c>
      <c r="K197" s="24" t="s">
        <v>478</v>
      </c>
      <c r="L197" s="28" t="str">
        <f>CONCATENATE(SUMIF($C$6:$C197,C197,$G$6:$G$370)," / ",SUMIF($C$6:$C$370,C197,$G$6:$G$370))</f>
        <v>60 / 60</v>
      </c>
      <c r="M197" s="28" t="str">
        <f>CONCATENATE(SUMIF($D$6:$D197,D197,$G$6:$G$370)," / ",SUMIF($D$6:$D$370,D197,$G$6:$G$370))</f>
        <v>85 / 123</v>
      </c>
      <c r="N197" s="28" t="str">
        <f>CONCATENATE(SUM($G$6:$G197)," / ",SUM($G$6:$G$370))</f>
        <v>986 / 2244,5</v>
      </c>
      <c r="O197" s="24"/>
      <c r="P197" s="224">
        <v>0</v>
      </c>
      <c r="Q197" s="28" t="str">
        <f>CONCATENATE(SUMIF($C$6:$C197,C197,$P$6:$P$370)," / ",SUMIF($C$6:$C$370,C197,$P$6:$P$370))</f>
        <v>3400 / 3400</v>
      </c>
      <c r="R197" s="28" t="str">
        <f>CONCATENATE(SUMIF($D$6:$D197,$D197,$P$6:$P$370)," / ",SUMIF($D$6:$D$370,$D197,$P$6:$P$370))</f>
        <v>5200 / 5200</v>
      </c>
      <c r="S197" s="28" t="str">
        <f>CONCATENATE(SUM($P$6:$P197)," / ",SUM($P$6:$P$370))</f>
        <v>18450 / 30850</v>
      </c>
    </row>
    <row r="198" spans="2:19" ht="13" thickBot="1">
      <c r="B198" s="238">
        <f t="shared" ref="B198" si="46">B197+1</f>
        <v>42232</v>
      </c>
      <c r="C198" s="124">
        <f t="shared" si="14"/>
        <v>34</v>
      </c>
      <c r="D198" s="124">
        <f t="shared" si="12"/>
        <v>8</v>
      </c>
      <c r="E198" s="28">
        <v>0</v>
      </c>
      <c r="F198" s="192"/>
      <c r="G198" s="124"/>
      <c r="H198" s="28" t="str">
        <f>CONCATENATE(SUMIF($C$6:$C198,C198,$E$6:$E$370)," / ",SUMIF($C$6:$C$370,C198,$E$6:$E$370))</f>
        <v>0 / 30</v>
      </c>
      <c r="I198" s="28" t="str">
        <f>CONCATENATE(SUMIF($D$6:$D198,D198,$E$6:$E$370)," / ",SUMIF($D$6:$D$370,D198,$E$6:$E$370))</f>
        <v>86 / 221</v>
      </c>
      <c r="J198" s="28" t="str">
        <f>CONCATENATE(SUM($E$6:$E198)," / ",SUM($E$6:$E$370))</f>
        <v>1281,5 / 2271</v>
      </c>
      <c r="K198" s="24"/>
      <c r="L198" s="28" t="str">
        <f>CONCATENATE(SUMIF($C$6:$C198,C198,$G$6:$G$370)," / ",SUMIF($C$6:$C$370,C198,$G$6:$G$370))</f>
        <v>0 / 0</v>
      </c>
      <c r="M198" s="28" t="str">
        <f>CONCATENATE(SUMIF($D$6:$D198,D198,$G$6:$G$370)," / ",SUMIF($D$6:$D$370,D198,$G$6:$G$370))</f>
        <v>85 / 123</v>
      </c>
      <c r="N198" s="28" t="str">
        <f>CONCATENATE(SUM($G$6:$G198)," / ",SUM($G$6:$G$370))</f>
        <v>986 / 2244,5</v>
      </c>
      <c r="O198" s="24"/>
      <c r="P198" s="224">
        <v>0</v>
      </c>
      <c r="Q198" s="28" t="str">
        <f>CONCATENATE(SUMIF($C$6:$C198,C198,$P$6:$P$370)," / ",SUMIF($C$6:$C$370,C198,$P$6:$P$370))</f>
        <v>0 / 0</v>
      </c>
      <c r="R198" s="28" t="str">
        <f>CONCATENATE(SUMIF($D$6:$D198,$D198,$P$6:$P$370)," / ",SUMIF($D$6:$D$370,$D198,$P$6:$P$370))</f>
        <v>5200 / 5200</v>
      </c>
      <c r="S198" s="28" t="str">
        <f>CONCATENATE(SUM($P$6:$P198)," / ",SUM($P$6:$P$370))</f>
        <v>18450 / 30850</v>
      </c>
    </row>
    <row r="199" spans="2:19" ht="13" thickBot="1">
      <c r="B199" s="238">
        <f t="shared" ref="B199" si="47">B198+1</f>
        <v>42233</v>
      </c>
      <c r="C199" s="124">
        <f t="shared" si="14"/>
        <v>34</v>
      </c>
      <c r="D199" s="124">
        <f t="shared" si="12"/>
        <v>8</v>
      </c>
      <c r="E199" s="28">
        <v>0</v>
      </c>
      <c r="F199" s="192"/>
      <c r="G199" s="124"/>
      <c r="H199" s="28" t="str">
        <f>CONCATENATE(SUMIF($C$6:$C199,C199,$E$6:$E$370)," / ",SUMIF($C$6:$C$370,C199,$E$6:$E$370))</f>
        <v>0 / 30</v>
      </c>
      <c r="I199" s="28" t="str">
        <f>CONCATENATE(SUMIF($D$6:$D199,D199,$E$6:$E$370)," / ",SUMIF($D$6:$D$370,D199,$E$6:$E$370))</f>
        <v>86 / 221</v>
      </c>
      <c r="J199" s="28" t="str">
        <f>CONCATENATE(SUM($E$6:$E199)," / ",SUM($E$6:$E$370))</f>
        <v>1281,5 / 2271</v>
      </c>
      <c r="K199" s="24"/>
      <c r="L199" s="28" t="str">
        <f>CONCATENATE(SUMIF($C$6:$C199,C199,$G$6:$G$370)," / ",SUMIF($C$6:$C$370,C199,$G$6:$G$370))</f>
        <v>0 / 0</v>
      </c>
      <c r="M199" s="28" t="str">
        <f>CONCATENATE(SUMIF($D$6:$D199,D199,$G$6:$G$370)," / ",SUMIF($D$6:$D$370,D199,$G$6:$G$370))</f>
        <v>85 / 123</v>
      </c>
      <c r="N199" s="28" t="str">
        <f>CONCATENATE(SUM($G$6:$G199)," / ",SUM($G$6:$G$370))</f>
        <v>986 / 2244,5</v>
      </c>
      <c r="O199" s="24"/>
      <c r="P199" s="224">
        <v>0</v>
      </c>
      <c r="Q199" s="28" t="str">
        <f>CONCATENATE(SUMIF($C$6:$C199,C199,$P$6:$P$370)," / ",SUMIF($C$6:$C$370,C199,$P$6:$P$370))</f>
        <v>0 / 0</v>
      </c>
      <c r="R199" s="28" t="str">
        <f>CONCATENATE(SUMIF($D$6:$D199,$D199,$P$6:$P$370)," / ",SUMIF($D$6:$D$370,$D199,$P$6:$P$370))</f>
        <v>5200 / 5200</v>
      </c>
      <c r="S199" s="28" t="str">
        <f>CONCATENATE(SUM($P$6:$P199)," / ",SUM($P$6:$P$370))</f>
        <v>18450 / 30850</v>
      </c>
    </row>
    <row r="200" spans="2:19" ht="13" thickBot="1">
      <c r="B200" s="238">
        <f t="shared" ref="B200" si="48">B199+1</f>
        <v>42234</v>
      </c>
      <c r="C200" s="124">
        <f t="shared" si="14"/>
        <v>34</v>
      </c>
      <c r="D200" s="124">
        <f t="shared" si="12"/>
        <v>8</v>
      </c>
      <c r="E200" s="28">
        <v>14</v>
      </c>
      <c r="F200" s="27" t="s">
        <v>527</v>
      </c>
      <c r="G200" s="124"/>
      <c r="H200" s="28" t="str">
        <f>CONCATENATE(SUMIF($C$6:$C200,C200,$E$6:$E$370)," / ",SUMIF($C$6:$C$370,C200,$E$6:$E$370))</f>
        <v>14 / 30</v>
      </c>
      <c r="I200" s="28" t="str">
        <f>CONCATENATE(SUMIF($D$6:$D200,D200,$E$6:$E$370)," / ",SUMIF($D$6:$D$370,D200,$E$6:$E$370))</f>
        <v>100 / 221</v>
      </c>
      <c r="J200" s="28" t="str">
        <f>CONCATENATE(SUM($E$6:$E200)," / ",SUM($E$6:$E$370))</f>
        <v>1295,5 / 2271</v>
      </c>
      <c r="K200" s="24" t="s">
        <v>478</v>
      </c>
      <c r="L200" s="28" t="str">
        <f>CONCATENATE(SUMIF($C$6:$C200,C200,$G$6:$G$370)," / ",SUMIF($C$6:$C$370,C200,$G$6:$G$370))</f>
        <v>0 / 0</v>
      </c>
      <c r="M200" s="28" t="str">
        <f>CONCATENATE(SUMIF($D$6:$D200,D200,$G$6:$G$370)," / ",SUMIF($D$6:$D$370,D200,$G$6:$G$370))</f>
        <v>85 / 123</v>
      </c>
      <c r="N200" s="28" t="str">
        <f>CONCATENATE(SUM($G$6:$G200)," / ",SUM($G$6:$G$370))</f>
        <v>986 / 2244,5</v>
      </c>
      <c r="O200" s="24"/>
      <c r="P200" s="224">
        <v>0</v>
      </c>
      <c r="Q200" s="28" t="str">
        <f>CONCATENATE(SUMIF($C$6:$C200,C200,$P$6:$P$370)," / ",SUMIF($C$6:$C$370,C200,$P$6:$P$370))</f>
        <v>0 / 0</v>
      </c>
      <c r="R200" s="28" t="str">
        <f>CONCATENATE(SUMIF($D$6:$D200,$D200,$P$6:$P$370)," / ",SUMIF($D$6:$D$370,$D200,$P$6:$P$370))</f>
        <v>5200 / 5200</v>
      </c>
      <c r="S200" s="28" t="str">
        <f>CONCATENATE(SUM($P$6:$P200)," / ",SUM($P$6:$P$370))</f>
        <v>18450 / 30850</v>
      </c>
    </row>
    <row r="201" spans="2:19" ht="13" thickBot="1">
      <c r="B201" s="238">
        <f t="shared" ref="B201" si="49">B200+1</f>
        <v>42235</v>
      </c>
      <c r="C201" s="124">
        <f t="shared" si="14"/>
        <v>34</v>
      </c>
      <c r="D201" s="124">
        <f t="shared" si="12"/>
        <v>8</v>
      </c>
      <c r="E201" s="28">
        <v>0</v>
      </c>
      <c r="F201" s="192"/>
      <c r="G201" s="124"/>
      <c r="H201" s="28" t="str">
        <f>CONCATENATE(SUMIF($C$6:$C201,C201,$E$6:$E$370)," / ",SUMIF($C$6:$C$370,C201,$E$6:$E$370))</f>
        <v>14 / 30</v>
      </c>
      <c r="I201" s="28" t="str">
        <f>CONCATENATE(SUMIF($D$6:$D201,D201,$E$6:$E$370)," / ",SUMIF($D$6:$D$370,D201,$E$6:$E$370))</f>
        <v>100 / 221</v>
      </c>
      <c r="J201" s="28" t="str">
        <f>CONCATENATE(SUM($E$6:$E201)," / ",SUM($E$6:$E$370))</f>
        <v>1295,5 / 2271</v>
      </c>
      <c r="K201" s="24"/>
      <c r="L201" s="28" t="str">
        <f>CONCATENATE(SUMIF($C$6:$C201,C201,$G$6:$G$370)," / ",SUMIF($C$6:$C$370,C201,$G$6:$G$370))</f>
        <v>0 / 0</v>
      </c>
      <c r="M201" s="28" t="str">
        <f>CONCATENATE(SUMIF($D$6:$D201,D201,$G$6:$G$370)," / ",SUMIF($D$6:$D$370,D201,$G$6:$G$370))</f>
        <v>85 / 123</v>
      </c>
      <c r="N201" s="28" t="str">
        <f>CONCATENATE(SUM($G$6:$G201)," / ",SUM($G$6:$G$370))</f>
        <v>986 / 2244,5</v>
      </c>
      <c r="O201" s="24"/>
      <c r="P201" s="224">
        <v>0</v>
      </c>
      <c r="Q201" s="28" t="str">
        <f>CONCATENATE(SUMIF($C$6:$C201,C201,$P$6:$P$370)," / ",SUMIF($C$6:$C$370,C201,$P$6:$P$370))</f>
        <v>0 / 0</v>
      </c>
      <c r="R201" s="28" t="str">
        <f>CONCATENATE(SUMIF($D$6:$D201,$D201,$P$6:$P$370)," / ",SUMIF($D$6:$D$370,$D201,$P$6:$P$370))</f>
        <v>5200 / 5200</v>
      </c>
      <c r="S201" s="28" t="str">
        <f>CONCATENATE(SUM($P$6:$P201)," / ",SUM($P$6:$P$370))</f>
        <v>18450 / 30850</v>
      </c>
    </row>
    <row r="202" spans="2:19" ht="13" thickBot="1">
      <c r="B202" s="238">
        <f t="shared" ref="B202" si="50">B201+1</f>
        <v>42236</v>
      </c>
      <c r="C202" s="124">
        <f t="shared" si="14"/>
        <v>34</v>
      </c>
      <c r="D202" s="124">
        <f t="shared" si="12"/>
        <v>8</v>
      </c>
      <c r="E202" s="28">
        <v>0</v>
      </c>
      <c r="F202" s="192"/>
      <c r="G202" s="124"/>
      <c r="H202" s="28" t="str">
        <f>CONCATENATE(SUMIF($C$6:$C202,C202,$E$6:$E$370)," / ",SUMIF($C$6:$C$370,C202,$E$6:$E$370))</f>
        <v>14 / 30</v>
      </c>
      <c r="I202" s="28" t="str">
        <f>CONCATENATE(SUMIF($D$6:$D202,D202,$E$6:$E$370)," / ",SUMIF($D$6:$D$370,D202,$E$6:$E$370))</f>
        <v>100 / 221</v>
      </c>
      <c r="J202" s="28" t="str">
        <f>CONCATENATE(SUM($E$6:$E202)," / ",SUM($E$6:$E$370))</f>
        <v>1295,5 / 2271</v>
      </c>
      <c r="K202" s="24"/>
      <c r="L202" s="28" t="str">
        <f>CONCATENATE(SUMIF($C$6:$C202,C202,$G$6:$G$370)," / ",SUMIF($C$6:$C$370,C202,$G$6:$G$370))</f>
        <v>0 / 0</v>
      </c>
      <c r="M202" s="28" t="str">
        <f>CONCATENATE(SUMIF($D$6:$D202,D202,$G$6:$G$370)," / ",SUMIF($D$6:$D$370,D202,$G$6:$G$370))</f>
        <v>85 / 123</v>
      </c>
      <c r="N202" s="28" t="str">
        <f>CONCATENATE(SUM($G$6:$G202)," / ",SUM($G$6:$G$370))</f>
        <v>986 / 2244,5</v>
      </c>
      <c r="O202" s="24"/>
      <c r="P202" s="224">
        <v>0</v>
      </c>
      <c r="Q202" s="28" t="str">
        <f>CONCATENATE(SUMIF($C$6:$C202,C202,$P$6:$P$370)," / ",SUMIF($C$6:$C$370,C202,$P$6:$P$370))</f>
        <v>0 / 0</v>
      </c>
      <c r="R202" s="28" t="str">
        <f>CONCATENATE(SUMIF($D$6:$D202,$D202,$P$6:$P$370)," / ",SUMIF($D$6:$D$370,$D202,$P$6:$P$370))</f>
        <v>5200 / 5200</v>
      </c>
      <c r="S202" s="28" t="str">
        <f>CONCATENATE(SUM($P$6:$P202)," / ",SUM($P$6:$P$370))</f>
        <v>18450 / 30850</v>
      </c>
    </row>
    <row r="203" spans="2:19" ht="13" thickBot="1">
      <c r="B203" s="238">
        <f t="shared" ref="B203" si="51">B202+1</f>
        <v>42237</v>
      </c>
      <c r="C203" s="124">
        <f t="shared" si="14"/>
        <v>34</v>
      </c>
      <c r="D203" s="124">
        <f t="shared" si="12"/>
        <v>8</v>
      </c>
      <c r="E203" s="28">
        <v>0</v>
      </c>
      <c r="F203" s="192"/>
      <c r="G203" s="124"/>
      <c r="H203" s="28" t="str">
        <f>CONCATENATE(SUMIF($C$6:$C203,C203,$E$6:$E$370)," / ",SUMIF($C$6:$C$370,C203,$E$6:$E$370))</f>
        <v>14 / 30</v>
      </c>
      <c r="I203" s="28" t="str">
        <f>CONCATENATE(SUMIF($D$6:$D203,D203,$E$6:$E$370)," / ",SUMIF($D$6:$D$370,D203,$E$6:$E$370))</f>
        <v>100 / 221</v>
      </c>
      <c r="J203" s="28" t="str">
        <f>CONCATENATE(SUM($E$6:$E203)," / ",SUM($E$6:$E$370))</f>
        <v>1295,5 / 2271</v>
      </c>
      <c r="K203" s="24"/>
      <c r="L203" s="28" t="str">
        <f>CONCATENATE(SUMIF($C$6:$C203,C203,$G$6:$G$370)," / ",SUMIF($C$6:$C$370,C203,$G$6:$G$370))</f>
        <v>0 / 0</v>
      </c>
      <c r="M203" s="28" t="str">
        <f>CONCATENATE(SUMIF($D$6:$D203,D203,$G$6:$G$370)," / ",SUMIF($D$6:$D$370,D203,$G$6:$G$370))</f>
        <v>85 / 123</v>
      </c>
      <c r="N203" s="28" t="str">
        <f>CONCATENATE(SUM($G$6:$G203)," / ",SUM($G$6:$G$370))</f>
        <v>986 / 2244,5</v>
      </c>
      <c r="O203" s="24"/>
      <c r="P203" s="224">
        <v>0</v>
      </c>
      <c r="Q203" s="28" t="str">
        <f>CONCATENATE(SUMIF($C$6:$C203,C203,$P$6:$P$370)," / ",SUMIF($C$6:$C$370,C203,$P$6:$P$370))</f>
        <v>0 / 0</v>
      </c>
      <c r="R203" s="28" t="str">
        <f>CONCATENATE(SUMIF($D$6:$D203,$D203,$P$6:$P$370)," / ",SUMIF($D$6:$D$370,$D203,$P$6:$P$370))</f>
        <v>5200 / 5200</v>
      </c>
      <c r="S203" s="28" t="str">
        <f>CONCATENATE(SUM($P$6:$P203)," / ",SUM($P$6:$P$370))</f>
        <v>18450 / 30850</v>
      </c>
    </row>
    <row r="204" spans="2:19" ht="13" thickBot="1">
      <c r="B204" s="238">
        <f t="shared" ref="B204" si="52">B203+1</f>
        <v>42238</v>
      </c>
      <c r="C204" s="124">
        <f t="shared" si="14"/>
        <v>34</v>
      </c>
      <c r="D204" s="124">
        <f t="shared" si="12"/>
        <v>8</v>
      </c>
      <c r="E204" s="28">
        <v>16</v>
      </c>
      <c r="F204" s="27" t="s">
        <v>526</v>
      </c>
      <c r="G204" s="124"/>
      <c r="H204" s="28" t="str">
        <f>CONCATENATE(SUMIF($C$6:$C204,C204,$E$6:$E$370)," / ",SUMIF($C$6:$C$370,C204,$E$6:$E$370))</f>
        <v>30 / 30</v>
      </c>
      <c r="I204" s="28" t="str">
        <f>CONCATENATE(SUMIF($D$6:$D204,D204,$E$6:$E$370)," / ",SUMIF($D$6:$D$370,D204,$E$6:$E$370))</f>
        <v>116 / 221</v>
      </c>
      <c r="J204" s="28" t="str">
        <f>CONCATENATE(SUM($E$6:$E204)," / ",SUM($E$6:$E$370))</f>
        <v>1311,5 / 2271</v>
      </c>
      <c r="K204" s="24" t="s">
        <v>477</v>
      </c>
      <c r="L204" s="28" t="str">
        <f>CONCATENATE(SUMIF($C$6:$C204,C204,$G$6:$G$370)," / ",SUMIF($C$6:$C$370,C204,$G$6:$G$370))</f>
        <v>0 / 0</v>
      </c>
      <c r="M204" s="28" t="str">
        <f>CONCATENATE(SUMIF($D$6:$D204,D204,$G$6:$G$370)," / ",SUMIF($D$6:$D$370,D204,$G$6:$G$370))</f>
        <v>85 / 123</v>
      </c>
      <c r="N204" s="28" t="str">
        <f>CONCATENATE(SUM($G$6:$G204)," / ",SUM($G$6:$G$370))</f>
        <v>986 / 2244,5</v>
      </c>
      <c r="O204" s="24"/>
      <c r="P204" s="224">
        <v>0</v>
      </c>
      <c r="Q204" s="28" t="str">
        <f>CONCATENATE(SUMIF($C$6:$C204,C204,$P$6:$P$370)," / ",SUMIF($C$6:$C$370,C204,$P$6:$P$370))</f>
        <v>0 / 0</v>
      </c>
      <c r="R204" s="28" t="str">
        <f>CONCATENATE(SUMIF($D$6:$D204,$D204,$P$6:$P$370)," / ",SUMIF($D$6:$D$370,$D204,$P$6:$P$370))</f>
        <v>5200 / 5200</v>
      </c>
      <c r="S204" s="28" t="str">
        <f>CONCATENATE(SUM($P$6:$P204)," / ",SUM($P$6:$P$370))</f>
        <v>18450 / 30850</v>
      </c>
    </row>
    <row r="205" spans="2:19" ht="13" thickBot="1">
      <c r="B205" s="241">
        <f t="shared" ref="B205" si="53">B204+1</f>
        <v>42239</v>
      </c>
      <c r="C205" s="227">
        <f t="shared" si="14"/>
        <v>35</v>
      </c>
      <c r="D205" s="227">
        <f t="shared" si="12"/>
        <v>8</v>
      </c>
      <c r="E205" s="228">
        <v>0</v>
      </c>
      <c r="F205" s="230" t="s">
        <v>544</v>
      </c>
      <c r="G205" s="227"/>
      <c r="H205" s="228" t="str">
        <f>CONCATENATE(SUMIF($C$6:$C205,C205,$E$6:$E$370)," / ",SUMIF($C$6:$C$370,C205,$E$6:$E$370))</f>
        <v>0 / 105</v>
      </c>
      <c r="I205" s="228" t="str">
        <f>CONCATENATE(SUMIF($D$6:$D205,D205,$E$6:$E$370)," / ",SUMIF($D$6:$D$370,D205,$E$6:$E$370))</f>
        <v>116 / 221</v>
      </c>
      <c r="J205" s="228" t="str">
        <f>CONCATENATE(SUM($E$6:$E205)," / ",SUM($E$6:$E$370))</f>
        <v>1311,5 / 2271</v>
      </c>
      <c r="K205" s="229"/>
      <c r="L205" s="28" t="str">
        <f>CONCATENATE(SUMIF($C$6:$C205,C205,$G$6:$G$370)," / ",SUMIF($C$6:$C$370,C205,$G$6:$G$370))</f>
        <v>0 / 0</v>
      </c>
      <c r="M205" s="28" t="str">
        <f>CONCATENATE(SUMIF($D$6:$D205,D205,$G$6:$G$370)," / ",SUMIF($D$6:$D$370,D205,$G$6:$G$370))</f>
        <v>85 / 123</v>
      </c>
      <c r="N205" s="28" t="str">
        <f>CONCATENATE(SUM($G$6:$G205)," / ",SUM($G$6:$G$370))</f>
        <v>986 / 2244,5</v>
      </c>
      <c r="O205" s="24"/>
      <c r="P205" s="224">
        <v>0</v>
      </c>
      <c r="Q205" s="28" t="str">
        <f>CONCATENATE(SUMIF($C$6:$C205,C205,$P$6:$P$370)," / ",SUMIF($C$6:$C$370,C205,$P$6:$P$370))</f>
        <v>0 / 0</v>
      </c>
      <c r="R205" s="28" t="str">
        <f>CONCATENATE(SUMIF($D$6:$D205,$D205,$P$6:$P$370)," / ",SUMIF($D$6:$D$370,$D205,$P$6:$P$370))</f>
        <v>5200 / 5200</v>
      </c>
      <c r="S205" s="28" t="str">
        <f>CONCATENATE(SUM($P$6:$P205)," / ",SUM($P$6:$P$370))</f>
        <v>18450 / 30850</v>
      </c>
    </row>
    <row r="206" spans="2:19" ht="13" thickBot="1">
      <c r="B206" s="241">
        <f t="shared" ref="B206" si="54">B205+1</f>
        <v>42240</v>
      </c>
      <c r="C206" s="227">
        <f t="shared" si="14"/>
        <v>35</v>
      </c>
      <c r="D206" s="227">
        <f t="shared" si="12"/>
        <v>8</v>
      </c>
      <c r="E206" s="228">
        <v>20</v>
      </c>
      <c r="F206" s="230" t="s">
        <v>525</v>
      </c>
      <c r="G206" s="227"/>
      <c r="H206" s="228" t="str">
        <f>CONCATENATE(SUMIF($C$6:$C206,C206,$E$6:$E$370)," / ",SUMIF($C$6:$C$370,C206,$E$6:$E$370))</f>
        <v>20 / 105</v>
      </c>
      <c r="I206" s="228" t="str">
        <f>CONCATENATE(SUMIF($D$6:$D206,D206,$E$6:$E$370)," / ",SUMIF($D$6:$D$370,D206,$E$6:$E$370))</f>
        <v>136 / 221</v>
      </c>
      <c r="J206" s="228" t="str">
        <f>CONCATENATE(SUM($E$6:$E206)," / ",SUM($E$6:$E$370))</f>
        <v>1331,5 / 2271</v>
      </c>
      <c r="K206" s="229" t="s">
        <v>477</v>
      </c>
      <c r="L206" s="28" t="str">
        <f>CONCATENATE(SUMIF($C$6:$C206,C206,$G$6:$G$370)," / ",SUMIF($C$6:$C$370,C206,$G$6:$G$370))</f>
        <v>0 / 0</v>
      </c>
      <c r="M206" s="28" t="str">
        <f>CONCATENATE(SUMIF($D$6:$D206,D206,$G$6:$G$370)," / ",SUMIF($D$6:$D$370,D206,$G$6:$G$370))</f>
        <v>85 / 123</v>
      </c>
      <c r="N206" s="28" t="str">
        <f>CONCATENATE(SUM($G$6:$G206)," / ",SUM($G$6:$G$370))</f>
        <v>986 / 2244,5</v>
      </c>
      <c r="O206" s="24"/>
      <c r="P206" s="224">
        <v>0</v>
      </c>
      <c r="Q206" s="28" t="str">
        <f>CONCATENATE(SUMIF($C$6:$C206,C206,$P$6:$P$370)," / ",SUMIF($C$6:$C$370,C206,$P$6:$P$370))</f>
        <v>0 / 0</v>
      </c>
      <c r="R206" s="28" t="str">
        <f>CONCATENATE(SUMIF($D$6:$D206,$D206,$P$6:$P$370)," / ",SUMIF($D$6:$D$370,$D206,$P$6:$P$370))</f>
        <v>5200 / 5200</v>
      </c>
      <c r="S206" s="28" t="str">
        <f>CONCATENATE(SUM($P$6:$P206)," / ",SUM($P$6:$P$370))</f>
        <v>18450 / 30850</v>
      </c>
    </row>
    <row r="207" spans="2:19" ht="13" thickBot="1">
      <c r="B207" s="241">
        <f t="shared" ref="B207" si="55">B206+1</f>
        <v>42241</v>
      </c>
      <c r="C207" s="227">
        <f t="shared" si="14"/>
        <v>35</v>
      </c>
      <c r="D207" s="227">
        <f t="shared" si="12"/>
        <v>8</v>
      </c>
      <c r="E207" s="228">
        <v>15</v>
      </c>
      <c r="F207" s="230" t="s">
        <v>532</v>
      </c>
      <c r="G207" s="227"/>
      <c r="H207" s="228" t="str">
        <f>CONCATENATE(SUMIF($C$6:$C207,C207,$E$6:$E$370)," / ",SUMIF($C$6:$C$370,C207,$E$6:$E$370))</f>
        <v>35 / 105</v>
      </c>
      <c r="I207" s="228" t="str">
        <f>CONCATENATE(SUMIF($D$6:$D207,D207,$E$6:$E$370)," / ",SUMIF($D$6:$D$370,D207,$E$6:$E$370))</f>
        <v>151 / 221</v>
      </c>
      <c r="J207" s="228" t="str">
        <f>CONCATENATE(SUM($E$6:$E207)," / ",SUM($E$6:$E$370))</f>
        <v>1346,5 / 2271</v>
      </c>
      <c r="K207" s="229" t="s">
        <v>478</v>
      </c>
      <c r="L207" s="28" t="str">
        <f>CONCATENATE(SUMIF($C$6:$C207,C207,$G$6:$G$370)," / ",SUMIF($C$6:$C$370,C207,$G$6:$G$370))</f>
        <v>0 / 0</v>
      </c>
      <c r="M207" s="28" t="str">
        <f>CONCATENATE(SUMIF($D$6:$D207,D207,$G$6:$G$370)," / ",SUMIF($D$6:$D$370,D207,$G$6:$G$370))</f>
        <v>85 / 123</v>
      </c>
      <c r="N207" s="28" t="str">
        <f>CONCATENATE(SUM($G$6:$G207)," / ",SUM($G$6:$G$370))</f>
        <v>986 / 2244,5</v>
      </c>
      <c r="O207" s="24"/>
      <c r="P207" s="224">
        <v>0</v>
      </c>
      <c r="Q207" s="28" t="str">
        <f>CONCATENATE(SUMIF($C$6:$C207,C207,$P$6:$P$370)," / ",SUMIF($C$6:$C$370,C207,$P$6:$P$370))</f>
        <v>0 / 0</v>
      </c>
      <c r="R207" s="28" t="str">
        <f>CONCATENATE(SUMIF($D$6:$D207,$D207,$P$6:$P$370)," / ",SUMIF($D$6:$D$370,$D207,$P$6:$P$370))</f>
        <v>5200 / 5200</v>
      </c>
      <c r="S207" s="28" t="str">
        <f>CONCATENATE(SUM($P$6:$P207)," / ",SUM($P$6:$P$370))</f>
        <v>18450 / 30850</v>
      </c>
    </row>
    <row r="208" spans="2:19" ht="13" thickBot="1">
      <c r="B208" s="241">
        <f t="shared" ref="B208" si="56">B207+1</f>
        <v>42242</v>
      </c>
      <c r="C208" s="227">
        <f t="shared" si="14"/>
        <v>35</v>
      </c>
      <c r="D208" s="227">
        <f t="shared" si="12"/>
        <v>8</v>
      </c>
      <c r="E208" s="228">
        <v>20</v>
      </c>
      <c r="F208" s="230" t="s">
        <v>541</v>
      </c>
      <c r="G208" s="227"/>
      <c r="H208" s="228" t="str">
        <f>CONCATENATE(SUMIF($C$6:$C208,C208,$E$6:$E$370)," / ",SUMIF($C$6:$C$370,C208,$E$6:$E$370))</f>
        <v>55 / 105</v>
      </c>
      <c r="I208" s="228" t="str">
        <f>CONCATENATE(SUMIF($D$6:$D208,D208,$E$6:$E$370)," / ",SUMIF($D$6:$D$370,D208,$E$6:$E$370))</f>
        <v>171 / 221</v>
      </c>
      <c r="J208" s="228" t="str">
        <f>CONCATENATE(SUM($E$6:$E208)," / ",SUM($E$6:$E$370))</f>
        <v>1366,5 / 2271</v>
      </c>
      <c r="K208" s="229"/>
      <c r="L208" s="28" t="str">
        <f>CONCATENATE(SUMIF($C$6:$C208,C208,$G$6:$G$370)," / ",SUMIF($C$6:$C$370,C208,$G$6:$G$370))</f>
        <v>0 / 0</v>
      </c>
      <c r="M208" s="28" t="str">
        <f>CONCATENATE(SUMIF($D$6:$D208,D208,$G$6:$G$370)," / ",SUMIF($D$6:$D$370,D208,$G$6:$G$370))</f>
        <v>85 / 123</v>
      </c>
      <c r="N208" s="28" t="str">
        <f>CONCATENATE(SUM($G$6:$G208)," / ",SUM($G$6:$G$370))</f>
        <v>986 / 2244,5</v>
      </c>
      <c r="O208" s="24"/>
      <c r="P208" s="224">
        <v>0</v>
      </c>
      <c r="Q208" s="28" t="str">
        <f>CONCATENATE(SUMIF($C$6:$C208,C208,$P$6:$P$370)," / ",SUMIF($C$6:$C$370,C208,$P$6:$P$370))</f>
        <v>0 / 0</v>
      </c>
      <c r="R208" s="28" t="str">
        <f>CONCATENATE(SUMIF($D$6:$D208,$D208,$P$6:$P$370)," / ",SUMIF($D$6:$D$370,$D208,$P$6:$P$370))</f>
        <v>5200 / 5200</v>
      </c>
      <c r="S208" s="28" t="str">
        <f>CONCATENATE(SUM($P$6:$P208)," / ",SUM($P$6:$P$370))</f>
        <v>18450 / 30850</v>
      </c>
    </row>
    <row r="209" spans="2:19" ht="13" thickBot="1">
      <c r="B209" s="241">
        <f t="shared" ref="B209" si="57">B208+1</f>
        <v>42243</v>
      </c>
      <c r="C209" s="227">
        <f t="shared" si="14"/>
        <v>35</v>
      </c>
      <c r="D209" s="227">
        <f t="shared" si="12"/>
        <v>8</v>
      </c>
      <c r="E209" s="228">
        <v>30</v>
      </c>
      <c r="F209" s="230" t="s">
        <v>542</v>
      </c>
      <c r="G209" s="227"/>
      <c r="H209" s="228" t="str">
        <f>CONCATENATE(SUMIF($C$6:$C209,C209,$E$6:$E$370)," / ",SUMIF($C$6:$C$370,C209,$E$6:$E$370))</f>
        <v>85 / 105</v>
      </c>
      <c r="I209" s="228" t="str">
        <f>CONCATENATE(SUMIF($D$6:$D209,D209,$E$6:$E$370)," / ",SUMIF($D$6:$D$370,D209,$E$6:$E$370))</f>
        <v>201 / 221</v>
      </c>
      <c r="J209" s="228" t="str">
        <f>CONCATENATE(SUM($E$6:$E209)," / ",SUM($E$6:$E$370))</f>
        <v>1396,5 / 2271</v>
      </c>
      <c r="K209" s="229" t="s">
        <v>477</v>
      </c>
      <c r="L209" s="28" t="str">
        <f>CONCATENATE(SUMIF($C$6:$C209,C209,$G$6:$G$370)," / ",SUMIF($C$6:$C$370,C209,$G$6:$G$370))</f>
        <v>0 / 0</v>
      </c>
      <c r="M209" s="28" t="str">
        <f>CONCATENATE(SUMIF($D$6:$D209,D209,$G$6:$G$370)," / ",SUMIF($D$6:$D$370,D209,$G$6:$G$370))</f>
        <v>85 / 123</v>
      </c>
      <c r="N209" s="28" t="str">
        <f>CONCATENATE(SUM($G$6:$G209)," / ",SUM($G$6:$G$370))</f>
        <v>986 / 2244,5</v>
      </c>
      <c r="O209" s="24"/>
      <c r="P209" s="224">
        <v>0</v>
      </c>
      <c r="Q209" s="28" t="str">
        <f>CONCATENATE(SUMIF($C$6:$C209,C209,$P$6:$P$370)," / ",SUMIF($C$6:$C$370,C209,$P$6:$P$370))</f>
        <v>0 / 0</v>
      </c>
      <c r="R209" s="28" t="str">
        <f>CONCATENATE(SUMIF($D$6:$D209,$D209,$P$6:$P$370)," / ",SUMIF($D$6:$D$370,$D209,$P$6:$P$370))</f>
        <v>5200 / 5200</v>
      </c>
      <c r="S209" s="28" t="str">
        <f>CONCATENATE(SUM($P$6:$P209)," / ",SUM($P$6:$P$370))</f>
        <v>18450 / 30850</v>
      </c>
    </row>
    <row r="210" spans="2:19" ht="13" thickBot="1">
      <c r="B210" s="241">
        <f t="shared" ref="B210" si="58">B209+1</f>
        <v>42244</v>
      </c>
      <c r="C210" s="227">
        <f t="shared" si="14"/>
        <v>35</v>
      </c>
      <c r="D210" s="227">
        <f t="shared" si="12"/>
        <v>8</v>
      </c>
      <c r="E210" s="228">
        <v>20</v>
      </c>
      <c r="F210" s="230" t="s">
        <v>543</v>
      </c>
      <c r="G210" s="227"/>
      <c r="H210" s="228" t="str">
        <f>CONCATENATE(SUMIF($C$6:$C210,C210,$E$6:$E$370)," / ",SUMIF($C$6:$C$370,C210,$E$6:$E$370))</f>
        <v>105 / 105</v>
      </c>
      <c r="I210" s="228" t="str">
        <f>CONCATENATE(SUMIF($D$6:$D210,D210,$E$6:$E$370)," / ",SUMIF($D$6:$D$370,D210,$E$6:$E$370))</f>
        <v>221 / 221</v>
      </c>
      <c r="J210" s="228" t="str">
        <f>CONCATENATE(SUM($E$6:$E210)," / ",SUM($E$6:$E$370))</f>
        <v>1416,5 / 2271</v>
      </c>
      <c r="K210" s="229" t="s">
        <v>477</v>
      </c>
      <c r="L210" s="28" t="str">
        <f>CONCATENATE(SUMIF($C$6:$C210,C210,$G$6:$G$370)," / ",SUMIF($C$6:$C$370,C210,$G$6:$G$370))</f>
        <v>0 / 0</v>
      </c>
      <c r="M210" s="28" t="str">
        <f>CONCATENATE(SUMIF($D$6:$D210,D210,$G$6:$G$370)," / ",SUMIF($D$6:$D$370,D210,$G$6:$G$370))</f>
        <v>85 / 123</v>
      </c>
      <c r="N210" s="28" t="str">
        <f>CONCATENATE(SUM($G$6:$G210)," / ",SUM($G$6:$G$370))</f>
        <v>986 / 2244,5</v>
      </c>
      <c r="O210" s="24"/>
      <c r="P210" s="224">
        <v>0</v>
      </c>
      <c r="Q210" s="28" t="str">
        <f>CONCATENATE(SUMIF($C$6:$C210,C210,$P$6:$P$370)," / ",SUMIF($C$6:$C$370,C210,$P$6:$P$370))</f>
        <v>0 / 0</v>
      </c>
      <c r="R210" s="28" t="str">
        <f>CONCATENATE(SUMIF($D$6:$D210,$D210,$P$6:$P$370)," / ",SUMIF($D$6:$D$370,$D210,$P$6:$P$370))</f>
        <v>5200 / 5200</v>
      </c>
      <c r="S210" s="28" t="str">
        <f>CONCATENATE(SUM($P$6:$P210)," / ",SUM($P$6:$P$370))</f>
        <v>18450 / 30850</v>
      </c>
    </row>
    <row r="211" spans="2:19" ht="13" thickBot="1">
      <c r="B211" s="238">
        <f t="shared" ref="B211" si="59">B210+1</f>
        <v>42245</v>
      </c>
      <c r="C211" s="124">
        <f t="shared" si="14"/>
        <v>35</v>
      </c>
      <c r="D211" s="124">
        <f t="shared" si="12"/>
        <v>8</v>
      </c>
      <c r="E211" s="28">
        <v>0</v>
      </c>
      <c r="F211" s="192"/>
      <c r="G211" s="124"/>
      <c r="H211" s="28" t="str">
        <f>CONCATENATE(SUMIF($C$6:$C211,C211,$E$6:$E$370)," / ",SUMIF($C$6:$C$370,C211,$E$6:$E$370))</f>
        <v>105 / 105</v>
      </c>
      <c r="I211" s="28" t="str">
        <f>CONCATENATE(SUMIF($D$6:$D211,D211,$E$6:$E$370)," / ",SUMIF($D$6:$D$370,D211,$E$6:$E$370))</f>
        <v>221 / 221</v>
      </c>
      <c r="J211" s="28" t="str">
        <f>CONCATENATE(SUM($E$6:$E211)," / ",SUM($E$6:$E$370))</f>
        <v>1416,5 / 2271</v>
      </c>
      <c r="K211" s="24"/>
      <c r="L211" s="28" t="str">
        <f>CONCATENATE(SUMIF($C$6:$C211,C211,$G$6:$G$370)," / ",SUMIF($C$6:$C$370,C211,$G$6:$G$370))</f>
        <v>0 / 0</v>
      </c>
      <c r="M211" s="28" t="str">
        <f>CONCATENATE(SUMIF($D$6:$D211,D211,$G$6:$G$370)," / ",SUMIF($D$6:$D$370,D211,$G$6:$G$370))</f>
        <v>85 / 123</v>
      </c>
      <c r="N211" s="28" t="str">
        <f>CONCATENATE(SUM($G$6:$G211)," / ",SUM($G$6:$G$370))</f>
        <v>986 / 2244,5</v>
      </c>
      <c r="O211" s="24"/>
      <c r="P211" s="224">
        <v>0</v>
      </c>
      <c r="Q211" s="28" t="str">
        <f>CONCATENATE(SUMIF($C$6:$C211,C211,$P$6:$P$370)," / ",SUMIF($C$6:$C$370,C211,$P$6:$P$370))</f>
        <v>0 / 0</v>
      </c>
      <c r="R211" s="28" t="str">
        <f>CONCATENATE(SUMIF($D$6:$D211,$D211,$P$6:$P$370)," / ",SUMIF($D$6:$D$370,$D211,$P$6:$P$370))</f>
        <v>5200 / 5200</v>
      </c>
      <c r="S211" s="28" t="str">
        <f>CONCATENATE(SUM($P$6:$P211)," / ",SUM($P$6:$P$370))</f>
        <v>18450 / 30850</v>
      </c>
    </row>
    <row r="212" spans="2:19" ht="13" thickBot="1">
      <c r="B212" s="238">
        <f t="shared" ref="B212" si="60">B211+1</f>
        <v>42246</v>
      </c>
      <c r="C212" s="124">
        <f t="shared" si="14"/>
        <v>36</v>
      </c>
      <c r="D212" s="124">
        <f t="shared" si="12"/>
        <v>8</v>
      </c>
      <c r="E212" s="28">
        <v>0</v>
      </c>
      <c r="F212" s="27" t="s">
        <v>545</v>
      </c>
      <c r="G212" s="124">
        <v>38</v>
      </c>
      <c r="H212" s="28" t="str">
        <f>CONCATENATE(SUMIF($C$6:$C212,C212,$E$6:$E$370)," / ",SUMIF($C$6:$C$370,C212,$E$6:$E$370))</f>
        <v>0 / 33</v>
      </c>
      <c r="I212" s="28" t="str">
        <f>CONCATENATE(SUMIF($D$6:$D212,D212,$E$6:$E$370)," / ",SUMIF($D$6:$D$370,D212,$E$6:$E$370))</f>
        <v>221 / 221</v>
      </c>
      <c r="J212" s="28" t="str">
        <f>CONCATENATE(SUM($E$6:$E212)," / ",SUM($E$6:$E$370))</f>
        <v>1416,5 / 2271</v>
      </c>
      <c r="K212" s="24"/>
      <c r="L212" s="28" t="str">
        <f>CONCATENATE(SUMIF($C$6:$C212,C212,$G$6:$G$370)," / ",SUMIF($C$6:$C$370,C212,$G$6:$G$370))</f>
        <v>38 / 111</v>
      </c>
      <c r="M212" s="28" t="str">
        <f>CONCATENATE(SUMIF($D$6:$D212,D212,$G$6:$G$370)," / ",SUMIF($D$6:$D$370,D212,$G$6:$G$370))</f>
        <v>123 / 123</v>
      </c>
      <c r="N212" s="28" t="str">
        <f>CONCATENATE(SUM($G$6:$G212)," / ",SUM($G$6:$G$370))</f>
        <v>1024 / 2244,5</v>
      </c>
      <c r="O212" s="24"/>
      <c r="P212" s="224">
        <v>0</v>
      </c>
      <c r="Q212" s="28" t="str">
        <f>CONCATENATE(SUMIF($C$6:$C212,C212,$P$6:$P$370)," / ",SUMIF($C$6:$C$370,C212,$P$6:$P$370))</f>
        <v>0 / 3700</v>
      </c>
      <c r="R212" s="28" t="str">
        <f>CONCATENATE(SUMIF($D$6:$D212,$D212,$P$6:$P$370)," / ",SUMIF($D$6:$D$370,$D212,$P$6:$P$370))</f>
        <v>5200 / 5200</v>
      </c>
      <c r="S212" s="28" t="str">
        <f>CONCATENATE(SUM($P$6:$P212)," / ",SUM($P$6:$P$370))</f>
        <v>18450 / 30850</v>
      </c>
    </row>
    <row r="213" spans="2:19" ht="16" thickBot="1">
      <c r="B213" s="242">
        <f t="shared" ref="B213" si="61">B212+1</f>
        <v>42247</v>
      </c>
      <c r="C213" s="215">
        <f t="shared" si="14"/>
        <v>36</v>
      </c>
      <c r="D213" s="215">
        <f t="shared" si="12"/>
        <v>8</v>
      </c>
      <c r="E213" s="216">
        <v>0</v>
      </c>
      <c r="F213" s="217" t="s">
        <v>475</v>
      </c>
      <c r="G213" s="215"/>
      <c r="H213" s="216" t="str">
        <f>CONCATENATE(SUMIF($C$6:$C213,C213,$E$6:$E$370)," / ",SUMIF($C$6:$C$370,C213,$E$6:$E$370))</f>
        <v>0 / 33</v>
      </c>
      <c r="I213" s="216" t="str">
        <f>CONCATENATE(SUMIF($D$6:$D213,D213,$E$6:$E$370)," / ",SUMIF($D$6:$D$370,D213,$E$6:$E$370))</f>
        <v>221 / 221</v>
      </c>
      <c r="J213" s="216" t="str">
        <f>CONCATENATE(SUM($E$6:$E213)," / ",SUM($E$6:$E$370))</f>
        <v>1416,5 / 2271</v>
      </c>
      <c r="K213" s="218"/>
      <c r="L213" s="28" t="str">
        <f>CONCATENATE(SUMIF($C$6:$C213,C213,$G$6:$G$370)," / ",SUMIF($C$6:$C$370,C213,$G$6:$G$370))</f>
        <v>38 / 111</v>
      </c>
      <c r="M213" s="28" t="str">
        <f>CONCATENATE(SUMIF($D$6:$D213,D213,$G$6:$G$370)," / ",SUMIF($D$6:$D$370,D213,$G$6:$G$370))</f>
        <v>123 / 123</v>
      </c>
      <c r="N213" s="28" t="str">
        <f>CONCATENATE(SUM($G$6:$G213)," / ",SUM($G$6:$G$370))</f>
        <v>1024 / 2244,5</v>
      </c>
      <c r="O213" s="24" t="s">
        <v>489</v>
      </c>
      <c r="P213" s="224">
        <v>0</v>
      </c>
      <c r="Q213" s="28" t="str">
        <f>CONCATENATE(SUMIF($C$6:$C213,C213,$P$6:$P$370)," / ",SUMIF($C$6:$C$370,C213,$P$6:$P$370))</f>
        <v>0 / 3700</v>
      </c>
      <c r="R213" s="28" t="str">
        <f>CONCATENATE(SUMIF($D$6:$D213,$D213,$P$6:$P$370)," / ",SUMIF($D$6:$D$370,$D213,$P$6:$P$370))</f>
        <v>5200 / 5200</v>
      </c>
      <c r="S213" s="28" t="str">
        <f>CONCATENATE(SUM($P$6:$P213)," / ",SUM($P$6:$P$370))</f>
        <v>18450 / 30850</v>
      </c>
    </row>
    <row r="214" spans="2:19" ht="13" thickBot="1">
      <c r="B214" s="238">
        <f t="shared" ref="B214" si="62">B213+1</f>
        <v>42248</v>
      </c>
      <c r="C214" s="124">
        <f t="shared" si="14"/>
        <v>36</v>
      </c>
      <c r="D214" s="124">
        <f t="shared" si="12"/>
        <v>9</v>
      </c>
      <c r="E214" s="28">
        <v>0</v>
      </c>
      <c r="F214" s="27" t="s">
        <v>546</v>
      </c>
      <c r="G214" s="124"/>
      <c r="H214" s="28" t="str">
        <f>CONCATENATE(SUMIF($C$6:$C214,C214,$E$6:$E$370)," / ",SUMIF($C$6:$C$370,C214,$E$6:$E$370))</f>
        <v>0 / 33</v>
      </c>
      <c r="I214" s="28" t="str">
        <f>CONCATENATE(SUMIF($D$6:$D214,D214,$E$6:$E$370)," / ",SUMIF($D$6:$D$370,D214,$E$6:$E$370))</f>
        <v>0 / 150,5</v>
      </c>
      <c r="J214" s="28" t="str">
        <f>CONCATENATE(SUM($E$6:$E214)," / ",SUM($E$6:$E$370))</f>
        <v>1416,5 / 2271</v>
      </c>
      <c r="K214" s="24"/>
      <c r="L214" s="28" t="str">
        <f>CONCATENATE(SUMIF($C$6:$C214,C214,$G$6:$G$370)," / ",SUMIF($C$6:$C$370,C214,$G$6:$G$370))</f>
        <v>38 / 111</v>
      </c>
      <c r="M214" s="28" t="str">
        <f>CONCATENATE(SUMIF($D$6:$D214,D214,$G$6:$G$370)," / ",SUMIF($D$6:$D$370,D214,$G$6:$G$370))</f>
        <v>0 / 402,5</v>
      </c>
      <c r="N214" s="28" t="str">
        <f>CONCATENATE(SUM($G$6:$G214)," / ",SUM($G$6:$G$370))</f>
        <v>1024 / 2244,5</v>
      </c>
      <c r="O214" s="24"/>
      <c r="P214" s="224">
        <v>1200</v>
      </c>
      <c r="Q214" s="28" t="str">
        <f>CONCATENATE(SUMIF($C$6:$C214,C214,$P$6:$P$370)," / ",SUMIF($C$6:$C$370,C214,$P$6:$P$370))</f>
        <v>1200 / 3700</v>
      </c>
      <c r="R214" s="28" t="str">
        <f>CONCATENATE(SUMIF($D$6:$D214,$D214,$P$6:$P$370)," / ",SUMIF($D$6:$D$370,$D214,$P$6:$P$370))</f>
        <v>1200 / 12400</v>
      </c>
      <c r="S214" s="28" t="str">
        <f>CONCATENATE(SUM($P$6:$P214)," / ",SUM($P$6:$P$370))</f>
        <v>19650 / 30850</v>
      </c>
    </row>
    <row r="215" spans="2:19" ht="13" thickBot="1">
      <c r="B215" s="238">
        <f t="shared" ref="B215" si="63">B214+1</f>
        <v>42249</v>
      </c>
      <c r="C215" s="124">
        <f t="shared" si="14"/>
        <v>36</v>
      </c>
      <c r="D215" s="124">
        <f t="shared" si="12"/>
        <v>9</v>
      </c>
      <c r="E215" s="28">
        <v>0</v>
      </c>
      <c r="F215" s="27" t="s">
        <v>547</v>
      </c>
      <c r="G215" s="124">
        <v>73</v>
      </c>
      <c r="H215" s="28" t="str">
        <f>CONCATENATE(SUMIF($C$6:$C215,C215,$E$6:$E$370)," / ",SUMIF($C$6:$C$370,C215,$E$6:$E$370))</f>
        <v>0 / 33</v>
      </c>
      <c r="I215" s="28" t="str">
        <f>CONCATENATE(SUMIF($D$6:$D215,D215,$E$6:$E$370)," / ",SUMIF($D$6:$D$370,D215,$E$6:$E$370))</f>
        <v>0 / 150,5</v>
      </c>
      <c r="J215" s="28" t="str">
        <f>CONCATENATE(SUM($E$6:$E215)," / ",SUM($E$6:$E$370))</f>
        <v>1416,5 / 2271</v>
      </c>
      <c r="K215" s="24"/>
      <c r="L215" s="28" t="str">
        <f>CONCATENATE(SUMIF($C$6:$C215,C215,$G$6:$G$370)," / ",SUMIF($C$6:$C$370,C215,$G$6:$G$370))</f>
        <v>111 / 111</v>
      </c>
      <c r="M215" s="28" t="str">
        <f>CONCATENATE(SUMIF($D$6:$D215,D215,$G$6:$G$370)," / ",SUMIF($D$6:$D$370,D215,$G$6:$G$370))</f>
        <v>73 / 402,5</v>
      </c>
      <c r="N215" s="28" t="str">
        <f>CONCATENATE(SUM($G$6:$G215)," / ",SUM($G$6:$G$370))</f>
        <v>1097 / 2244,5</v>
      </c>
      <c r="O215" s="24" t="s">
        <v>489</v>
      </c>
      <c r="P215" s="224">
        <v>0</v>
      </c>
      <c r="Q215" s="28" t="str">
        <f>CONCATENATE(SUMIF($C$6:$C215,C215,$P$6:$P$370)," / ",SUMIF($C$6:$C$370,C215,$P$6:$P$370))</f>
        <v>1200 / 3700</v>
      </c>
      <c r="R215" s="28" t="str">
        <f>CONCATENATE(SUMIF($D$6:$D215,$D215,$P$6:$P$370)," / ",SUMIF($D$6:$D$370,$D215,$P$6:$P$370))</f>
        <v>1200 / 12400</v>
      </c>
      <c r="S215" s="28" t="str">
        <f>CONCATENATE(SUM($P$6:$P215)," / ",SUM($P$6:$P$370))</f>
        <v>19650 / 30850</v>
      </c>
    </row>
    <row r="216" spans="2:19" ht="13" thickBot="1">
      <c r="B216" s="238">
        <f t="shared" ref="B216" si="64">B215+1</f>
        <v>42250</v>
      </c>
      <c r="C216" s="124">
        <f t="shared" si="14"/>
        <v>36</v>
      </c>
      <c r="D216" s="124">
        <f t="shared" si="12"/>
        <v>9</v>
      </c>
      <c r="E216" s="28">
        <v>0</v>
      </c>
      <c r="F216" s="27" t="s">
        <v>548</v>
      </c>
      <c r="G216" s="124"/>
      <c r="H216" s="28" t="str">
        <f>CONCATENATE(SUMIF($C$6:$C216,C216,$E$6:$E$370)," / ",SUMIF($C$6:$C$370,C216,$E$6:$E$370))</f>
        <v>0 / 33</v>
      </c>
      <c r="I216" s="28" t="str">
        <f>CONCATENATE(SUMIF($D$6:$D216,D216,$E$6:$E$370)," / ",SUMIF($D$6:$D$370,D216,$E$6:$E$370))</f>
        <v>0 / 150,5</v>
      </c>
      <c r="J216" s="28" t="str">
        <f>CONCATENATE(SUM($E$6:$E216)," / ",SUM($E$6:$E$370))</f>
        <v>1416,5 / 2271</v>
      </c>
      <c r="K216" s="24"/>
      <c r="L216" s="28" t="str">
        <f>CONCATENATE(SUMIF($C$6:$C216,C216,$G$6:$G$370)," / ",SUMIF($C$6:$C$370,C216,$G$6:$G$370))</f>
        <v>111 / 111</v>
      </c>
      <c r="M216" s="28" t="str">
        <f>CONCATENATE(SUMIF($D$6:$D216,D216,$G$6:$G$370)," / ",SUMIF($D$6:$D$370,D216,$G$6:$G$370))</f>
        <v>73 / 402,5</v>
      </c>
      <c r="N216" s="28" t="str">
        <f>CONCATENATE(SUM($G$6:$G216)," / ",SUM($G$6:$G$370))</f>
        <v>1097 / 2244,5</v>
      </c>
      <c r="O216" s="24"/>
      <c r="P216" s="224">
        <v>2500</v>
      </c>
      <c r="Q216" s="28" t="str">
        <f>CONCATENATE(SUMIF($C$6:$C216,C216,$P$6:$P$370)," / ",SUMIF($C$6:$C$370,C216,$P$6:$P$370))</f>
        <v>3700 / 3700</v>
      </c>
      <c r="R216" s="28" t="str">
        <f>CONCATENATE(SUMIF($D$6:$D216,$D216,$P$6:$P$370)," / ",SUMIF($D$6:$D$370,$D216,$P$6:$P$370))</f>
        <v>3700 / 12400</v>
      </c>
      <c r="S216" s="28" t="str">
        <f>CONCATENATE(SUM($P$6:$P216)," / ",SUM($P$6:$P$370))</f>
        <v>22150 / 30850</v>
      </c>
    </row>
    <row r="217" spans="2:19" ht="13" thickBot="1">
      <c r="B217" s="238">
        <f t="shared" ref="B217" si="65">B216+1</f>
        <v>42251</v>
      </c>
      <c r="C217" s="124">
        <f t="shared" si="14"/>
        <v>36</v>
      </c>
      <c r="D217" s="124">
        <f t="shared" si="12"/>
        <v>9</v>
      </c>
      <c r="E217" s="28">
        <v>12</v>
      </c>
      <c r="F217" s="27" t="s">
        <v>550</v>
      </c>
      <c r="G217" s="124"/>
      <c r="H217" s="28" t="str">
        <f>CONCATENATE(SUMIF($C$6:$C217,C217,$E$6:$E$370)," / ",SUMIF($C$6:$C$370,C217,$E$6:$E$370))</f>
        <v>12 / 33</v>
      </c>
      <c r="I217" s="28" t="str">
        <f>CONCATENATE(SUMIF($D$6:$D217,D217,$E$6:$E$370)," / ",SUMIF($D$6:$D$370,D217,$E$6:$E$370))</f>
        <v>12 / 150,5</v>
      </c>
      <c r="J217" s="28" t="str">
        <f>CONCATENATE(SUM($E$6:$E217)," / ",SUM($E$6:$E$370))</f>
        <v>1428,5 / 2271</v>
      </c>
      <c r="K217" s="24" t="s">
        <v>478</v>
      </c>
      <c r="L217" s="28" t="str">
        <f>CONCATENATE(SUMIF($C$6:$C217,C217,$G$6:$G$370)," / ",SUMIF($C$6:$C$370,C217,$G$6:$G$370))</f>
        <v>111 / 111</v>
      </c>
      <c r="M217" s="28" t="str">
        <f>CONCATENATE(SUMIF($D$6:$D217,D217,$G$6:$G$370)," / ",SUMIF($D$6:$D$370,D217,$G$6:$G$370))</f>
        <v>73 / 402,5</v>
      </c>
      <c r="N217" s="28" t="str">
        <f>CONCATENATE(SUM($G$6:$G217)," / ",SUM($G$6:$G$370))</f>
        <v>1097 / 2244,5</v>
      </c>
      <c r="O217" s="24"/>
      <c r="P217" s="224">
        <v>0</v>
      </c>
      <c r="Q217" s="28" t="str">
        <f>CONCATENATE(SUMIF($C$6:$C217,C217,$P$6:$P$370)," / ",SUMIF($C$6:$C$370,C217,$P$6:$P$370))</f>
        <v>3700 / 3700</v>
      </c>
      <c r="R217" s="28" t="str">
        <f>CONCATENATE(SUMIF($D$6:$D217,$D217,$P$6:$P$370)," / ",SUMIF($D$6:$D$370,$D217,$P$6:$P$370))</f>
        <v>3700 / 12400</v>
      </c>
      <c r="S217" s="28" t="str">
        <f>CONCATENATE(SUM($P$6:$P217)," / ",SUM($P$6:$P$370))</f>
        <v>22150 / 30850</v>
      </c>
    </row>
    <row r="218" spans="2:19" ht="16" thickBot="1">
      <c r="B218" s="239">
        <f t="shared" ref="B218" si="66">B217+1</f>
        <v>42252</v>
      </c>
      <c r="C218" s="193">
        <f t="shared" si="14"/>
        <v>36</v>
      </c>
      <c r="D218" s="193">
        <f t="shared" si="12"/>
        <v>9</v>
      </c>
      <c r="E218" s="194">
        <v>21</v>
      </c>
      <c r="F218" s="195" t="s">
        <v>549</v>
      </c>
      <c r="G218" s="193"/>
      <c r="H218" s="194" t="str">
        <f>CONCATENATE(SUMIF($C$6:$C218,C218,$E$6:$E$370)," / ",SUMIF($C$6:$C$370,C218,$E$6:$E$370))</f>
        <v>33 / 33</v>
      </c>
      <c r="I218" s="194" t="str">
        <f>CONCATENATE(SUMIF($D$6:$D218,D218,$E$6:$E$370)," / ",SUMIF($D$6:$D$370,D218,$E$6:$E$370))</f>
        <v>33 / 150,5</v>
      </c>
      <c r="J218" s="194" t="str">
        <f>CONCATENATE(SUM($E$6:$E218)," / ",SUM($E$6:$E$370))</f>
        <v>1449,5 / 2271</v>
      </c>
      <c r="K218" s="196" t="s">
        <v>380</v>
      </c>
      <c r="L218" s="28" t="str">
        <f>CONCATENATE(SUMIF($C$6:$C218,C218,$G$6:$G$370)," / ",SUMIF($C$6:$C$370,C218,$G$6:$G$370))</f>
        <v>111 / 111</v>
      </c>
      <c r="M218" s="28" t="str">
        <f>CONCATENATE(SUMIF($D$6:$D218,D218,$G$6:$G$370)," / ",SUMIF($D$6:$D$370,D218,$G$6:$G$370))</f>
        <v>73 / 402,5</v>
      </c>
      <c r="N218" s="28" t="str">
        <f>CONCATENATE(SUM($G$6:$G218)," / ",SUM($G$6:$G$370))</f>
        <v>1097 / 2244,5</v>
      </c>
      <c r="O218" s="24"/>
      <c r="P218" s="224">
        <v>0</v>
      </c>
      <c r="Q218" s="28" t="str">
        <f>CONCATENATE(SUMIF($C$6:$C218,C218,$P$6:$P$370)," / ",SUMIF($C$6:$C$370,C218,$P$6:$P$370))</f>
        <v>3700 / 3700</v>
      </c>
      <c r="R218" s="28" t="str">
        <f>CONCATENATE(SUMIF($D$6:$D218,$D218,$P$6:$P$370)," / ",SUMIF($D$6:$D$370,$D218,$P$6:$P$370))</f>
        <v>3700 / 12400</v>
      </c>
      <c r="S218" s="28" t="str">
        <f>CONCATENATE(SUM($P$6:$P218)," / ",SUM($P$6:$P$370))</f>
        <v>22150 / 30850</v>
      </c>
    </row>
    <row r="219" spans="2:19" ht="13" thickBot="1">
      <c r="B219" s="238">
        <f t="shared" ref="B219" si="67">B218+1</f>
        <v>42253</v>
      </c>
      <c r="C219" s="124">
        <f t="shared" si="14"/>
        <v>37</v>
      </c>
      <c r="D219" s="124">
        <f t="shared" si="12"/>
        <v>9</v>
      </c>
      <c r="E219" s="28">
        <v>0</v>
      </c>
      <c r="F219" s="27" t="s">
        <v>553</v>
      </c>
      <c r="G219" s="124">
        <v>48</v>
      </c>
      <c r="H219" s="28" t="str">
        <f>CONCATENATE(SUMIF($C$6:$C219,C219,$E$6:$E$370)," / ",SUMIF($C$6:$C$370,C219,$E$6:$E$370))</f>
        <v>0 / 31,5</v>
      </c>
      <c r="I219" s="28" t="str">
        <f>CONCATENATE(SUMIF($D$6:$D219,D219,$E$6:$E$370)," / ",SUMIF($D$6:$D$370,D219,$E$6:$E$370))</f>
        <v>33 / 150,5</v>
      </c>
      <c r="J219" s="28" t="str">
        <f>CONCATENATE(SUM($E$6:$E219)," / ",SUM($E$6:$E$370))</f>
        <v>1449,5 / 2271</v>
      </c>
      <c r="K219" s="24"/>
      <c r="L219" s="28" t="str">
        <f>CONCATENATE(SUMIF($C$6:$C219,C219,$G$6:$G$370)," / ",SUMIF($C$6:$C$370,C219,$G$6:$G$370))</f>
        <v>48 / 130,5</v>
      </c>
      <c r="M219" s="28" t="str">
        <f>CONCATENATE(SUMIF($D$6:$D219,D219,$G$6:$G$370)," / ",SUMIF($D$6:$D$370,D219,$G$6:$G$370))</f>
        <v>121 / 402,5</v>
      </c>
      <c r="N219" s="28" t="str">
        <f>CONCATENATE(SUM($G$6:$G219)," / ",SUM($G$6:$G$370))</f>
        <v>1145 / 2244,5</v>
      </c>
      <c r="O219" s="24" t="s">
        <v>489</v>
      </c>
      <c r="P219" s="224">
        <v>0</v>
      </c>
      <c r="Q219" s="28" t="str">
        <f>CONCATENATE(SUMIF($C$6:$C219,C219,$P$6:$P$370)," / ",SUMIF($C$6:$C$370,C219,$P$6:$P$370))</f>
        <v>0 / 3300</v>
      </c>
      <c r="R219" s="28" t="str">
        <f>CONCATENATE(SUMIF($D$6:$D219,$D219,$P$6:$P$370)," / ",SUMIF($D$6:$D$370,$D219,$P$6:$P$370))</f>
        <v>3700 / 12400</v>
      </c>
      <c r="S219" s="28" t="str">
        <f>CONCATENATE(SUM($P$6:$P219)," / ",SUM($P$6:$P$370))</f>
        <v>22150 / 30850</v>
      </c>
    </row>
    <row r="220" spans="2:19" ht="13" thickBot="1">
      <c r="B220" s="238">
        <f t="shared" ref="B220" si="68">B219+1</f>
        <v>42254</v>
      </c>
      <c r="C220" s="124">
        <f t="shared" si="14"/>
        <v>37</v>
      </c>
      <c r="D220" s="124">
        <f t="shared" si="12"/>
        <v>9</v>
      </c>
      <c r="E220" s="28">
        <v>0</v>
      </c>
      <c r="F220" s="192"/>
      <c r="G220" s="124"/>
      <c r="H220" s="28" t="str">
        <f>CONCATENATE(SUMIF($C$6:$C220,C220,$E$6:$E$370)," / ",SUMIF($C$6:$C$370,C220,$E$6:$E$370))</f>
        <v>0 / 31,5</v>
      </c>
      <c r="I220" s="28" t="str">
        <f>CONCATENATE(SUMIF($D$6:$D220,D220,$E$6:$E$370)," / ",SUMIF($D$6:$D$370,D220,$E$6:$E$370))</f>
        <v>33 / 150,5</v>
      </c>
      <c r="J220" s="28" t="str">
        <f>CONCATENATE(SUM($E$6:$E220)," / ",SUM($E$6:$E$370))</f>
        <v>1449,5 / 2271</v>
      </c>
      <c r="K220" s="24"/>
      <c r="L220" s="28" t="str">
        <f>CONCATENATE(SUMIF($C$6:$C220,C220,$G$6:$G$370)," / ",SUMIF($C$6:$C$370,C220,$G$6:$G$370))</f>
        <v>48 / 130,5</v>
      </c>
      <c r="M220" s="28" t="str">
        <f>CONCATENATE(SUMIF($D$6:$D220,D220,$G$6:$G$370)," / ",SUMIF($D$6:$D$370,D220,$G$6:$G$370))</f>
        <v>121 / 402,5</v>
      </c>
      <c r="N220" s="28" t="str">
        <f>CONCATENATE(SUM($G$6:$G220)," / ",SUM($G$6:$G$370))</f>
        <v>1145 / 2244,5</v>
      </c>
      <c r="O220" s="24"/>
      <c r="P220" s="224">
        <v>0</v>
      </c>
      <c r="Q220" s="28" t="str">
        <f>CONCATENATE(SUMIF($C$6:$C220,C220,$P$6:$P$370)," / ",SUMIF($C$6:$C$370,C220,$P$6:$P$370))</f>
        <v>0 / 3300</v>
      </c>
      <c r="R220" s="28" t="str">
        <f>CONCATENATE(SUMIF($D$6:$D220,$D220,$P$6:$P$370)," / ",SUMIF($D$6:$D$370,$D220,$P$6:$P$370))</f>
        <v>3700 / 12400</v>
      </c>
      <c r="S220" s="28" t="str">
        <f>CONCATENATE(SUM($P$6:$P220)," / ",SUM($P$6:$P$370))</f>
        <v>22150 / 30850</v>
      </c>
    </row>
    <row r="221" spans="2:19" ht="13" thickBot="1">
      <c r="B221" s="238">
        <f t="shared" ref="B221" si="69">B220+1</f>
        <v>42255</v>
      </c>
      <c r="C221" s="124">
        <f t="shared" si="14"/>
        <v>37</v>
      </c>
      <c r="D221" s="124">
        <f t="shared" si="12"/>
        <v>9</v>
      </c>
      <c r="E221" s="28">
        <v>15</v>
      </c>
      <c r="F221" s="27" t="s">
        <v>554</v>
      </c>
      <c r="G221" s="124"/>
      <c r="H221" s="28" t="str">
        <f>CONCATENATE(SUMIF($C$6:$C221,C221,$E$6:$E$370)," / ",SUMIF($C$6:$C$370,C221,$E$6:$E$370))</f>
        <v>15 / 31,5</v>
      </c>
      <c r="I221" s="28" t="str">
        <f>CONCATENATE(SUMIF($D$6:$D221,D221,$E$6:$E$370)," / ",SUMIF($D$6:$D$370,D221,$E$6:$E$370))</f>
        <v>48 / 150,5</v>
      </c>
      <c r="J221" s="28" t="str">
        <f>CONCATENATE(SUM($E$6:$E221)," / ",SUM($E$6:$E$370))</f>
        <v>1464,5 / 2271</v>
      </c>
      <c r="K221" s="24" t="s">
        <v>478</v>
      </c>
      <c r="L221" s="28" t="str">
        <f>CONCATENATE(SUMIF($C$6:$C221,C221,$G$6:$G$370)," / ",SUMIF($C$6:$C$370,C221,$G$6:$G$370))</f>
        <v>48 / 130,5</v>
      </c>
      <c r="M221" s="28" t="str">
        <f>CONCATENATE(SUMIF($D$6:$D221,D221,$G$6:$G$370)," / ",SUMIF($D$6:$D$370,D221,$G$6:$G$370))</f>
        <v>121 / 402,5</v>
      </c>
      <c r="N221" s="28" t="str">
        <f>CONCATENATE(SUM($G$6:$G221)," / ",SUM($G$6:$G$370))</f>
        <v>1145 / 2244,5</v>
      </c>
      <c r="O221" s="24"/>
      <c r="P221" s="224">
        <v>0</v>
      </c>
      <c r="Q221" s="28" t="str">
        <f>CONCATENATE(SUMIF($C$6:$C221,C221,$P$6:$P$370)," / ",SUMIF($C$6:$C$370,C221,$P$6:$P$370))</f>
        <v>0 / 3300</v>
      </c>
      <c r="R221" s="28" t="str">
        <f>CONCATENATE(SUMIF($D$6:$D221,$D221,$P$6:$P$370)," / ",SUMIF($D$6:$D$370,$D221,$P$6:$P$370))</f>
        <v>3700 / 12400</v>
      </c>
      <c r="S221" s="28" t="str">
        <f>CONCATENATE(SUM($P$6:$P221)," / ",SUM($P$6:$P$370))</f>
        <v>22150 / 30850</v>
      </c>
    </row>
    <row r="222" spans="2:19" ht="13" thickBot="1">
      <c r="B222" s="238">
        <f t="shared" ref="B222" si="70">B221+1</f>
        <v>42256</v>
      </c>
      <c r="C222" s="124">
        <f t="shared" si="14"/>
        <v>37</v>
      </c>
      <c r="D222" s="124">
        <f t="shared" si="12"/>
        <v>9</v>
      </c>
      <c r="E222" s="28">
        <v>0</v>
      </c>
      <c r="F222" s="192"/>
      <c r="G222" s="124">
        <v>45</v>
      </c>
      <c r="H222" s="28" t="str">
        <f>CONCATENATE(SUMIF($C$6:$C222,C222,$E$6:$E$370)," / ",SUMIF($C$6:$C$370,C222,$E$6:$E$370))</f>
        <v>15 / 31,5</v>
      </c>
      <c r="I222" s="28" t="str">
        <f>CONCATENATE(SUMIF($D$6:$D222,D222,$E$6:$E$370)," / ",SUMIF($D$6:$D$370,D222,$E$6:$E$370))</f>
        <v>48 / 150,5</v>
      </c>
      <c r="J222" s="28" t="str">
        <f>CONCATENATE(SUM($E$6:$E222)," / ",SUM($E$6:$E$370))</f>
        <v>1464,5 / 2271</v>
      </c>
      <c r="K222" s="24"/>
      <c r="L222" s="28" t="str">
        <f>CONCATENATE(SUMIF($C$6:$C222,C222,$G$6:$G$370)," / ",SUMIF($C$6:$C$370,C222,$G$6:$G$370))</f>
        <v>93 / 130,5</v>
      </c>
      <c r="M222" s="28" t="str">
        <f>CONCATENATE(SUMIF($D$6:$D222,D222,$G$6:$G$370)," / ",SUMIF($D$6:$D$370,D222,$G$6:$G$370))</f>
        <v>166 / 402,5</v>
      </c>
      <c r="N222" s="28" t="str">
        <f>CONCATENATE(SUM($G$6:$G222)," / ",SUM($G$6:$G$370))</f>
        <v>1190 / 2244,5</v>
      </c>
      <c r="O222" s="24" t="s">
        <v>489</v>
      </c>
      <c r="P222" s="224">
        <v>0</v>
      </c>
      <c r="Q222" s="28" t="str">
        <f>CONCATENATE(SUMIF($C$6:$C222,C222,$P$6:$P$370)," / ",SUMIF($C$6:$C$370,C222,$P$6:$P$370))</f>
        <v>0 / 3300</v>
      </c>
      <c r="R222" s="28" t="str">
        <f>CONCATENATE(SUMIF($D$6:$D222,$D222,$P$6:$P$370)," / ",SUMIF($D$6:$D$370,$D222,$P$6:$P$370))</f>
        <v>3700 / 12400</v>
      </c>
      <c r="S222" s="28" t="str">
        <f>CONCATENATE(SUM($P$6:$P222)," / ",SUM($P$6:$P$370))</f>
        <v>22150 / 30850</v>
      </c>
    </row>
    <row r="223" spans="2:19" ht="13" thickBot="1">
      <c r="B223" s="238">
        <f t="shared" ref="B223" si="71">B222+1</f>
        <v>42257</v>
      </c>
      <c r="C223" s="124">
        <f t="shared" si="14"/>
        <v>37</v>
      </c>
      <c r="D223" s="124">
        <f t="shared" si="12"/>
        <v>9</v>
      </c>
      <c r="E223" s="28">
        <v>0</v>
      </c>
      <c r="F223" s="27" t="s">
        <v>555</v>
      </c>
      <c r="G223" s="124"/>
      <c r="H223" s="28" t="str">
        <f>CONCATENATE(SUMIF($C$6:$C223,C223,$E$6:$E$370)," / ",SUMIF($C$6:$C$370,C223,$E$6:$E$370))</f>
        <v>15 / 31,5</v>
      </c>
      <c r="I223" s="28" t="str">
        <f>CONCATENATE(SUMIF($D$6:$D223,D223,$E$6:$E$370)," / ",SUMIF($D$6:$D$370,D223,$E$6:$E$370))</f>
        <v>48 / 150,5</v>
      </c>
      <c r="J223" s="28" t="str">
        <f>CONCATENATE(SUM($E$6:$E223)," / ",SUM($E$6:$E$370))</f>
        <v>1464,5 / 2271</v>
      </c>
      <c r="K223" s="24"/>
      <c r="L223" s="28" t="str">
        <f>CONCATENATE(SUMIF($C$6:$C223,C223,$G$6:$G$370)," / ",SUMIF($C$6:$C$370,C223,$G$6:$G$370))</f>
        <v>93 / 130,5</v>
      </c>
      <c r="M223" s="28" t="str">
        <f>CONCATENATE(SUMIF($D$6:$D223,D223,$G$6:$G$370)," / ",SUMIF($D$6:$D$370,D223,$G$6:$G$370))</f>
        <v>166 / 402,5</v>
      </c>
      <c r="N223" s="28" t="str">
        <f>CONCATENATE(SUM($G$6:$G223)," / ",SUM($G$6:$G$370))</f>
        <v>1190 / 2244,5</v>
      </c>
      <c r="O223" s="24"/>
      <c r="P223" s="224">
        <v>750</v>
      </c>
      <c r="Q223" s="28" t="str">
        <f>CONCATENATE(SUMIF($C$6:$C223,C223,$P$6:$P$370)," / ",SUMIF($C$6:$C$370,C223,$P$6:$P$370))</f>
        <v>750 / 3300</v>
      </c>
      <c r="R223" s="28" t="str">
        <f>CONCATENATE(SUMIF($D$6:$D223,$D223,$P$6:$P$370)," / ",SUMIF($D$6:$D$370,$D223,$P$6:$P$370))</f>
        <v>4450 / 12400</v>
      </c>
      <c r="S223" s="28" t="str">
        <f>CONCATENATE(SUM($P$6:$P223)," / ",SUM($P$6:$P$370))</f>
        <v>22900 / 30850</v>
      </c>
    </row>
    <row r="224" spans="2:19" ht="13" thickBot="1">
      <c r="B224" s="238">
        <f t="shared" ref="B224" si="72">B223+1</f>
        <v>42258</v>
      </c>
      <c r="C224" s="124">
        <f t="shared" si="14"/>
        <v>37</v>
      </c>
      <c r="D224" s="124">
        <f t="shared" si="12"/>
        <v>9</v>
      </c>
      <c r="E224" s="28">
        <v>0</v>
      </c>
      <c r="F224" s="27" t="s">
        <v>556</v>
      </c>
      <c r="G224" s="124">
        <v>37.5</v>
      </c>
      <c r="H224" s="28" t="str">
        <f>CONCATENATE(SUMIF($C$6:$C224,C224,$E$6:$E$370)," / ",SUMIF($C$6:$C$370,C224,$E$6:$E$370))</f>
        <v>15 / 31,5</v>
      </c>
      <c r="I224" s="28" t="str">
        <f>CONCATENATE(SUMIF($D$6:$D224,D224,$E$6:$E$370)," / ",SUMIF($D$6:$D$370,D224,$E$6:$E$370))</f>
        <v>48 / 150,5</v>
      </c>
      <c r="J224" s="28" t="str">
        <f>CONCATENATE(SUM($E$6:$E224)," / ",SUM($E$6:$E$370))</f>
        <v>1464,5 / 2271</v>
      </c>
      <c r="K224" s="24"/>
      <c r="L224" s="28" t="str">
        <f>CONCATENATE(SUMIF($C$6:$C224,C224,$G$6:$G$370)," / ",SUMIF($C$6:$C$370,C224,$G$6:$G$370))</f>
        <v>130,5 / 130,5</v>
      </c>
      <c r="M224" s="28" t="str">
        <f>CONCATENATE(SUMIF($D$6:$D224,D224,$G$6:$G$370)," / ",SUMIF($D$6:$D$370,D224,$G$6:$G$370))</f>
        <v>203,5 / 402,5</v>
      </c>
      <c r="N224" s="28" t="str">
        <f>CONCATENATE(SUM($G$6:$G224)," / ",SUM($G$6:$G$370))</f>
        <v>1227,5 / 2244,5</v>
      </c>
      <c r="O224" s="24" t="s">
        <v>489</v>
      </c>
      <c r="P224" s="224">
        <v>2550</v>
      </c>
      <c r="Q224" s="28" t="str">
        <f>CONCATENATE(SUMIF($C$6:$C224,C224,$P$6:$P$370)," / ",SUMIF($C$6:$C$370,C224,$P$6:$P$370))</f>
        <v>3300 / 3300</v>
      </c>
      <c r="R224" s="28" t="str">
        <f>CONCATENATE(SUMIF($D$6:$D224,$D224,$P$6:$P$370)," / ",SUMIF($D$6:$D$370,$D224,$P$6:$P$370))</f>
        <v>7000 / 12400</v>
      </c>
      <c r="S224" s="28" t="str">
        <f>CONCATENATE(SUM($P$6:$P224)," / ",SUM($P$6:$P$370))</f>
        <v>25450 / 30850</v>
      </c>
    </row>
    <row r="225" spans="2:19" ht="13" thickBot="1">
      <c r="B225" s="238">
        <f t="shared" ref="B225" si="73">B224+1</f>
        <v>42259</v>
      </c>
      <c r="C225" s="124">
        <f t="shared" si="14"/>
        <v>37</v>
      </c>
      <c r="D225" s="124">
        <f t="shared" si="12"/>
        <v>9</v>
      </c>
      <c r="E225" s="28">
        <v>16.5</v>
      </c>
      <c r="F225" s="27" t="s">
        <v>552</v>
      </c>
      <c r="G225" s="124"/>
      <c r="H225" s="28" t="str">
        <f>CONCATENATE(SUMIF($C$6:$C225,C225,$E$6:$E$370)," / ",SUMIF($C$6:$C$370,C225,$E$6:$E$370))</f>
        <v>31,5 / 31,5</v>
      </c>
      <c r="I225" s="28" t="str">
        <f>CONCATENATE(SUMIF($D$6:$D225,D225,$E$6:$E$370)," / ",SUMIF($D$6:$D$370,D225,$E$6:$E$370))</f>
        <v>64,5 / 150,5</v>
      </c>
      <c r="J225" s="28" t="str">
        <f>CONCATENATE(SUM($E$6:$E225)," / ",SUM($E$6:$E$370))</f>
        <v>1481 / 2271</v>
      </c>
      <c r="K225" s="24" t="s">
        <v>478</v>
      </c>
      <c r="L225" s="28" t="str">
        <f>CONCATENATE(SUMIF($C$6:$C225,C225,$G$6:$G$370)," / ",SUMIF($C$6:$C$370,C225,$G$6:$G$370))</f>
        <v>130,5 / 130,5</v>
      </c>
      <c r="M225" s="28" t="str">
        <f>CONCATENATE(SUMIF($D$6:$D225,D225,$G$6:$G$370)," / ",SUMIF($D$6:$D$370,D225,$G$6:$G$370))</f>
        <v>203,5 / 402,5</v>
      </c>
      <c r="N225" s="28" t="str">
        <f>CONCATENATE(SUM($G$6:$G225)," / ",SUM($G$6:$G$370))</f>
        <v>1227,5 / 2244,5</v>
      </c>
      <c r="O225" s="24"/>
      <c r="P225" s="224">
        <v>0</v>
      </c>
      <c r="Q225" s="28" t="str">
        <f>CONCATENATE(SUMIF($C$6:$C225,C225,$P$6:$P$370)," / ",SUMIF($C$6:$C$370,C225,$P$6:$P$370))</f>
        <v>3300 / 3300</v>
      </c>
      <c r="R225" s="28" t="str">
        <f>CONCATENATE(SUMIF($D$6:$D225,$D225,$P$6:$P$370)," / ",SUMIF($D$6:$D$370,$D225,$P$6:$P$370))</f>
        <v>7000 / 12400</v>
      </c>
      <c r="S225" s="28" t="str">
        <f>CONCATENATE(SUM($P$6:$P225)," / ",SUM($P$6:$P$370))</f>
        <v>25450 / 30850</v>
      </c>
    </row>
    <row r="226" spans="2:19" ht="13" thickBot="1">
      <c r="B226" s="238">
        <f t="shared" ref="B226" si="74">B225+1</f>
        <v>42260</v>
      </c>
      <c r="C226" s="124">
        <f t="shared" si="14"/>
        <v>38</v>
      </c>
      <c r="D226" s="124">
        <f t="shared" si="12"/>
        <v>9</v>
      </c>
      <c r="E226" s="28">
        <v>0</v>
      </c>
      <c r="F226" s="192"/>
      <c r="G226" s="124"/>
      <c r="H226" s="28" t="str">
        <f>CONCATENATE(SUMIF($C$6:$C226,C226,$E$6:$E$370)," / ",SUMIF($C$6:$C$370,C226,$E$6:$E$370))</f>
        <v>0 / 22</v>
      </c>
      <c r="I226" s="28" t="str">
        <f>CONCATENATE(SUMIF($D$6:$D226,D226,$E$6:$E$370)," / ",SUMIF($D$6:$D$370,D226,$E$6:$E$370))</f>
        <v>64,5 / 150,5</v>
      </c>
      <c r="J226" s="28" t="str">
        <f>CONCATENATE(SUM($E$6:$E226)," / ",SUM($E$6:$E$370))</f>
        <v>1481 / 2271</v>
      </c>
      <c r="K226" s="24"/>
      <c r="L226" s="28" t="str">
        <f>CONCATENATE(SUMIF($C$6:$C226,C226,$G$6:$G$370)," / ",SUMIF($C$6:$C$370,C226,$G$6:$G$370))</f>
        <v>0 / 50</v>
      </c>
      <c r="M226" s="28" t="str">
        <f>CONCATENATE(SUMIF($D$6:$D226,D226,$G$6:$G$370)," / ",SUMIF($D$6:$D$370,D226,$G$6:$G$370))</f>
        <v>203,5 / 402,5</v>
      </c>
      <c r="N226" s="28" t="str">
        <f>CONCATENATE(SUM($G$6:$G226)," / ",SUM($G$6:$G$370))</f>
        <v>1227,5 / 2244,5</v>
      </c>
      <c r="O226" s="24"/>
      <c r="P226" s="224">
        <v>0</v>
      </c>
      <c r="Q226" s="28" t="str">
        <f>CONCATENATE(SUMIF($C$6:$C226,C226,$P$6:$P$370)," / ",SUMIF($C$6:$C$370,C226,$P$6:$P$370))</f>
        <v>0 / 2000</v>
      </c>
      <c r="R226" s="28" t="str">
        <f>CONCATENATE(SUMIF($D$6:$D226,$D226,$P$6:$P$370)," / ",SUMIF($D$6:$D$370,$D226,$P$6:$P$370))</f>
        <v>7000 / 12400</v>
      </c>
      <c r="S226" s="28" t="str">
        <f>CONCATENATE(SUM($P$6:$P226)," / ",SUM($P$6:$P$370))</f>
        <v>25450 / 30850</v>
      </c>
    </row>
    <row r="227" spans="2:19" ht="13" thickBot="1">
      <c r="B227" s="238">
        <f t="shared" ref="B227" si="75">B226+1</f>
        <v>42261</v>
      </c>
      <c r="C227" s="124">
        <f t="shared" si="14"/>
        <v>38</v>
      </c>
      <c r="D227" s="124">
        <f t="shared" si="12"/>
        <v>9</v>
      </c>
      <c r="E227" s="28">
        <v>0</v>
      </c>
      <c r="F227" s="192"/>
      <c r="G227" s="124"/>
      <c r="H227" s="28" t="str">
        <f>CONCATENATE(SUMIF($C$6:$C227,C227,$E$6:$E$370)," / ",SUMIF($C$6:$C$370,C227,$E$6:$E$370))</f>
        <v>0 / 22</v>
      </c>
      <c r="I227" s="28" t="str">
        <f>CONCATENATE(SUMIF($D$6:$D227,D227,$E$6:$E$370)," / ",SUMIF($D$6:$D$370,D227,$E$6:$E$370))</f>
        <v>64,5 / 150,5</v>
      </c>
      <c r="J227" s="28" t="str">
        <f>CONCATENATE(SUM($E$6:$E227)," / ",SUM($E$6:$E$370))</f>
        <v>1481 / 2271</v>
      </c>
      <c r="K227" s="24"/>
      <c r="L227" s="28" t="str">
        <f>CONCATENATE(SUMIF($C$6:$C227,C227,$G$6:$G$370)," / ",SUMIF($C$6:$C$370,C227,$G$6:$G$370))</f>
        <v>0 / 50</v>
      </c>
      <c r="M227" s="28" t="str">
        <f>CONCATENATE(SUMIF($D$6:$D227,D227,$G$6:$G$370)," / ",SUMIF($D$6:$D$370,D227,$G$6:$G$370))</f>
        <v>203,5 / 402,5</v>
      </c>
      <c r="N227" s="28" t="str">
        <f>CONCATENATE(SUM($G$6:$G227)," / ",SUM($G$6:$G$370))</f>
        <v>1227,5 / 2244,5</v>
      </c>
      <c r="O227" s="24"/>
      <c r="P227" s="224">
        <v>0</v>
      </c>
      <c r="Q227" s="28" t="str">
        <f>CONCATENATE(SUMIF($C$6:$C227,C227,$P$6:$P$370)," / ",SUMIF($C$6:$C$370,C227,$P$6:$P$370))</f>
        <v>0 / 2000</v>
      </c>
      <c r="R227" s="28" t="str">
        <f>CONCATENATE(SUMIF($D$6:$D227,$D227,$P$6:$P$370)," / ",SUMIF($D$6:$D$370,$D227,$P$6:$P$370))</f>
        <v>7000 / 12400</v>
      </c>
      <c r="S227" s="28" t="str">
        <f>CONCATENATE(SUM($P$6:$P227)," / ",SUM($P$6:$P$370))</f>
        <v>25450 / 30850</v>
      </c>
    </row>
    <row r="228" spans="2:19" ht="13" thickBot="1">
      <c r="B228" s="238">
        <f t="shared" ref="B228" si="76">B227+1</f>
        <v>42262</v>
      </c>
      <c r="C228" s="124">
        <f t="shared" si="14"/>
        <v>38</v>
      </c>
      <c r="D228" s="124">
        <f t="shared" si="12"/>
        <v>9</v>
      </c>
      <c r="E228" s="28">
        <v>0</v>
      </c>
      <c r="F228" s="27" t="s">
        <v>558</v>
      </c>
      <c r="G228" s="124"/>
      <c r="H228" s="28" t="str">
        <f>CONCATENATE(SUMIF($C$6:$C228,C228,$E$6:$E$370)," / ",SUMIF($C$6:$C$370,C228,$E$6:$E$370))</f>
        <v>0 / 22</v>
      </c>
      <c r="I228" s="28" t="str">
        <f>CONCATENATE(SUMIF($D$6:$D228,D228,$E$6:$E$370)," / ",SUMIF($D$6:$D$370,D228,$E$6:$E$370))</f>
        <v>64,5 / 150,5</v>
      </c>
      <c r="J228" s="28" t="str">
        <f>CONCATENATE(SUM($E$6:$E228)," / ",SUM($E$6:$E$370))</f>
        <v>1481 / 2271</v>
      </c>
      <c r="K228" s="24"/>
      <c r="L228" s="28" t="str">
        <f>CONCATENATE(SUMIF($C$6:$C228,C228,$G$6:$G$370)," / ",SUMIF($C$6:$C$370,C228,$G$6:$G$370))</f>
        <v>0 / 50</v>
      </c>
      <c r="M228" s="28" t="str">
        <f>CONCATENATE(SUMIF($D$6:$D228,D228,$G$6:$G$370)," / ",SUMIF($D$6:$D$370,D228,$G$6:$G$370))</f>
        <v>203,5 / 402,5</v>
      </c>
      <c r="N228" s="28" t="str">
        <f>CONCATENATE(SUM($G$6:$G228)," / ",SUM($G$6:$G$370))</f>
        <v>1227,5 / 2244,5</v>
      </c>
      <c r="O228" s="24"/>
      <c r="P228" s="224">
        <v>2000</v>
      </c>
      <c r="Q228" s="28" t="str">
        <f>CONCATENATE(SUMIF($C$6:$C228,C228,$P$6:$P$370)," / ",SUMIF($C$6:$C$370,C228,$P$6:$P$370))</f>
        <v>2000 / 2000</v>
      </c>
      <c r="R228" s="28" t="str">
        <f>CONCATENATE(SUMIF($D$6:$D228,$D228,$P$6:$P$370)," / ",SUMIF($D$6:$D$370,$D228,$P$6:$P$370))</f>
        <v>9000 / 12400</v>
      </c>
      <c r="S228" s="28" t="str">
        <f>CONCATENATE(SUM($P$6:$P228)," / ",SUM($P$6:$P$370))</f>
        <v>27450 / 30850</v>
      </c>
    </row>
    <row r="229" spans="2:19" ht="13" thickBot="1">
      <c r="B229" s="238">
        <f t="shared" ref="B229" si="77">B228+1</f>
        <v>42263</v>
      </c>
      <c r="C229" s="124">
        <f t="shared" si="14"/>
        <v>38</v>
      </c>
      <c r="D229" s="124">
        <f t="shared" ref="D229:D240" si="78">MONTH(B229)</f>
        <v>9</v>
      </c>
      <c r="E229" s="28">
        <v>0</v>
      </c>
      <c r="F229" s="192"/>
      <c r="G229" s="124"/>
      <c r="H229" s="28" t="str">
        <f>CONCATENATE(SUMIF($C$6:$C229,C229,$E$6:$E$370)," / ",SUMIF($C$6:$C$370,C229,$E$6:$E$370))</f>
        <v>0 / 22</v>
      </c>
      <c r="I229" s="28" t="str">
        <f>CONCATENATE(SUMIF($D$6:$D229,D229,$E$6:$E$370)," / ",SUMIF($D$6:$D$370,D229,$E$6:$E$370))</f>
        <v>64,5 / 150,5</v>
      </c>
      <c r="J229" s="28" t="str">
        <f>CONCATENATE(SUM($E$6:$E229)," / ",SUM($E$6:$E$370))</f>
        <v>1481 / 2271</v>
      </c>
      <c r="K229" s="24"/>
      <c r="L229" s="28" t="str">
        <f>CONCATENATE(SUMIF($C$6:$C229,C229,$G$6:$G$370)," / ",SUMIF($C$6:$C$370,C229,$G$6:$G$370))</f>
        <v>0 / 50</v>
      </c>
      <c r="M229" s="28" t="str">
        <f>CONCATENATE(SUMIF($D$6:$D229,D229,$G$6:$G$370)," / ",SUMIF($D$6:$D$370,D229,$G$6:$G$370))</f>
        <v>203,5 / 402,5</v>
      </c>
      <c r="N229" s="28" t="str">
        <f>CONCATENATE(SUM($G$6:$G229)," / ",SUM($G$6:$G$370))</f>
        <v>1227,5 / 2244,5</v>
      </c>
      <c r="O229" s="24"/>
      <c r="P229" s="224">
        <v>0</v>
      </c>
      <c r="Q229" s="28" t="str">
        <f>CONCATENATE(SUMIF($C$6:$C229,C229,$P$6:$P$370)," / ",SUMIF($C$6:$C$370,C229,$P$6:$P$370))</f>
        <v>2000 / 2000</v>
      </c>
      <c r="R229" s="28" t="str">
        <f>CONCATENATE(SUMIF($D$6:$D229,$D229,$P$6:$P$370)," / ",SUMIF($D$6:$D$370,$D229,$P$6:$P$370))</f>
        <v>9000 / 12400</v>
      </c>
      <c r="S229" s="28" t="str">
        <f>CONCATENATE(SUM($P$6:$P229)," / ",SUM($P$6:$P$370))</f>
        <v>27450 / 30850</v>
      </c>
    </row>
    <row r="230" spans="2:19" ht="13" thickBot="1">
      <c r="B230" s="238">
        <f t="shared" ref="B230" si="79">B229+1</f>
        <v>42264</v>
      </c>
      <c r="C230" s="124">
        <f t="shared" ref="C230:C293" si="80">WEEKNUM($B230)</f>
        <v>38</v>
      </c>
      <c r="D230" s="124">
        <f t="shared" si="78"/>
        <v>9</v>
      </c>
      <c r="E230" s="28">
        <v>0</v>
      </c>
      <c r="F230" s="27" t="s">
        <v>557</v>
      </c>
      <c r="G230" s="124">
        <v>50</v>
      </c>
      <c r="H230" s="28" t="str">
        <f>CONCATENATE(SUMIF($C$6:$C230,C230,$E$6:$E$370)," / ",SUMIF($C$6:$C$370,C230,$E$6:$E$370))</f>
        <v>0 / 22</v>
      </c>
      <c r="I230" s="28" t="str">
        <f>CONCATENATE(SUMIF($D$6:$D230,D230,$E$6:$E$370)," / ",SUMIF($D$6:$D$370,D230,$E$6:$E$370))</f>
        <v>64,5 / 150,5</v>
      </c>
      <c r="J230" s="28" t="str">
        <f>CONCATENATE(SUM($E$6:$E230)," / ",SUM($E$6:$E$370))</f>
        <v>1481 / 2271</v>
      </c>
      <c r="K230" s="24"/>
      <c r="L230" s="28" t="str">
        <f>CONCATENATE(SUMIF($C$6:$C230,C230,$G$6:$G$370)," / ",SUMIF($C$6:$C$370,C230,$G$6:$G$370))</f>
        <v>50 / 50</v>
      </c>
      <c r="M230" s="28" t="str">
        <f>CONCATENATE(SUMIF($D$6:$D230,D230,$G$6:$G$370)," / ",SUMIF($D$6:$D$370,D230,$G$6:$G$370))</f>
        <v>253,5 / 402,5</v>
      </c>
      <c r="N230" s="28" t="str">
        <f>CONCATENATE(SUM($G$6:$G230)," / ",SUM($G$6:$G$370))</f>
        <v>1277,5 / 2244,5</v>
      </c>
      <c r="O230" s="24" t="s">
        <v>489</v>
      </c>
      <c r="P230" s="224">
        <v>0</v>
      </c>
      <c r="Q230" s="28" t="str">
        <f>CONCATENATE(SUMIF($C$6:$C230,C230,$P$6:$P$370)," / ",SUMIF($C$6:$C$370,C230,$P$6:$P$370))</f>
        <v>2000 / 2000</v>
      </c>
      <c r="R230" s="28" t="str">
        <f>CONCATENATE(SUMIF($D$6:$D230,$D230,$P$6:$P$370)," / ",SUMIF($D$6:$D$370,$D230,$P$6:$P$370))</f>
        <v>9000 / 12400</v>
      </c>
      <c r="S230" s="28" t="str">
        <f>CONCATENATE(SUM($P$6:$P230)," / ",SUM($P$6:$P$370))</f>
        <v>27450 / 30850</v>
      </c>
    </row>
    <row r="231" spans="2:19" ht="13" thickBot="1">
      <c r="B231" s="238">
        <f t="shared" ref="B231" si="81">B230+1</f>
        <v>42265</v>
      </c>
      <c r="C231" s="124">
        <f t="shared" si="80"/>
        <v>38</v>
      </c>
      <c r="D231" s="124">
        <f t="shared" si="78"/>
        <v>9</v>
      </c>
      <c r="E231" s="28">
        <v>10</v>
      </c>
      <c r="F231" s="27" t="s">
        <v>559</v>
      </c>
      <c r="G231" s="124"/>
      <c r="H231" s="28" t="str">
        <f>CONCATENATE(SUMIF($C$6:$C231,C231,$E$6:$E$370)," / ",SUMIF($C$6:$C$370,C231,$E$6:$E$370))</f>
        <v>10 / 22</v>
      </c>
      <c r="I231" s="28" t="str">
        <f>CONCATENATE(SUMIF($D$6:$D231,D231,$E$6:$E$370)," / ",SUMIF($D$6:$D$370,D231,$E$6:$E$370))</f>
        <v>74,5 / 150,5</v>
      </c>
      <c r="J231" s="28" t="str">
        <f>CONCATENATE(SUM($E$6:$E231)," / ",SUM($E$6:$E$370))</f>
        <v>1491 / 2271</v>
      </c>
      <c r="K231" s="24" t="s">
        <v>478</v>
      </c>
      <c r="L231" s="28" t="str">
        <f>CONCATENATE(SUMIF($C$6:$C231,C231,$G$6:$G$370)," / ",SUMIF($C$6:$C$370,C231,$G$6:$G$370))</f>
        <v>50 / 50</v>
      </c>
      <c r="M231" s="28" t="str">
        <f>CONCATENATE(SUMIF($D$6:$D231,D231,$G$6:$G$370)," / ",SUMIF($D$6:$D$370,D231,$G$6:$G$370))</f>
        <v>253,5 / 402,5</v>
      </c>
      <c r="N231" s="28" t="str">
        <f>CONCATENATE(SUM($G$6:$G231)," / ",SUM($G$6:$G$370))</f>
        <v>1277,5 / 2244,5</v>
      </c>
      <c r="O231" s="24"/>
      <c r="P231" s="224">
        <v>0</v>
      </c>
      <c r="Q231" s="28" t="str">
        <f>CONCATENATE(SUMIF($C$6:$C231,C231,$P$6:$P$370)," / ",SUMIF($C$6:$C$370,C231,$P$6:$P$370))</f>
        <v>2000 / 2000</v>
      </c>
      <c r="R231" s="28" t="str">
        <f>CONCATENATE(SUMIF($D$6:$D231,$D231,$P$6:$P$370)," / ",SUMIF($D$6:$D$370,$D231,$P$6:$P$370))</f>
        <v>9000 / 12400</v>
      </c>
      <c r="S231" s="28" t="str">
        <f>CONCATENATE(SUM($P$6:$P231)," / ",SUM($P$6:$P$370))</f>
        <v>27450 / 30850</v>
      </c>
    </row>
    <row r="232" spans="2:19" ht="13" thickBot="1">
      <c r="B232" s="238">
        <f t="shared" ref="B232" si="82">B231+1</f>
        <v>42266</v>
      </c>
      <c r="C232" s="124">
        <f t="shared" si="80"/>
        <v>38</v>
      </c>
      <c r="D232" s="124">
        <f t="shared" si="78"/>
        <v>9</v>
      </c>
      <c r="E232" s="28">
        <v>12</v>
      </c>
      <c r="F232" s="27" t="s">
        <v>561</v>
      </c>
      <c r="G232" s="124"/>
      <c r="H232" s="28" t="str">
        <f>CONCATENATE(SUMIF($C$6:$C232,C232,$E$6:$E$370)," / ",SUMIF($C$6:$C$370,C232,$E$6:$E$370))</f>
        <v>22 / 22</v>
      </c>
      <c r="I232" s="28" t="str">
        <f>CONCATENATE(SUMIF($D$6:$D232,D232,$E$6:$E$370)," / ",SUMIF($D$6:$D$370,D232,$E$6:$E$370))</f>
        <v>86,5 / 150,5</v>
      </c>
      <c r="J232" s="28" t="str">
        <f>CONCATENATE(SUM($E$6:$E232)," / ",SUM($E$6:$E$370))</f>
        <v>1503 / 2271</v>
      </c>
      <c r="K232" s="24" t="s">
        <v>478</v>
      </c>
      <c r="L232" s="28" t="str">
        <f>CONCATENATE(SUMIF($C$6:$C232,C232,$G$6:$G$370)," / ",SUMIF($C$6:$C$370,C232,$G$6:$G$370))</f>
        <v>50 / 50</v>
      </c>
      <c r="M232" s="28" t="str">
        <f>CONCATENATE(SUMIF($D$6:$D232,D232,$G$6:$G$370)," / ",SUMIF($D$6:$D$370,D232,$G$6:$G$370))</f>
        <v>253,5 / 402,5</v>
      </c>
      <c r="N232" s="28" t="str">
        <f>CONCATENATE(SUM($G$6:$G232)," / ",SUM($G$6:$G$370))</f>
        <v>1277,5 / 2244,5</v>
      </c>
      <c r="O232" s="24"/>
      <c r="P232" s="224">
        <v>0</v>
      </c>
      <c r="Q232" s="28" t="str">
        <f>CONCATENATE(SUMIF($C$6:$C232,C232,$P$6:$P$370)," / ",SUMIF($C$6:$C$370,C232,$P$6:$P$370))</f>
        <v>2000 / 2000</v>
      </c>
      <c r="R232" s="28" t="str">
        <f>CONCATENATE(SUMIF($D$6:$D232,$D232,$P$6:$P$370)," / ",SUMIF($D$6:$D$370,$D232,$P$6:$P$370))</f>
        <v>9000 / 12400</v>
      </c>
      <c r="S232" s="28" t="str">
        <f>CONCATENATE(SUM($P$6:$P232)," / ",SUM($P$6:$P$370))</f>
        <v>27450 / 30850</v>
      </c>
    </row>
    <row r="233" spans="2:19" ht="13" thickBot="1">
      <c r="B233" s="238">
        <f t="shared" ref="B233" si="83">B232+1</f>
        <v>42267</v>
      </c>
      <c r="C233" s="124">
        <f t="shared" si="80"/>
        <v>39</v>
      </c>
      <c r="D233" s="124">
        <f t="shared" si="78"/>
        <v>9</v>
      </c>
      <c r="E233" s="28">
        <v>0</v>
      </c>
      <c r="F233" s="27" t="s">
        <v>562</v>
      </c>
      <c r="G233" s="124">
        <v>50</v>
      </c>
      <c r="H233" s="28" t="str">
        <f>CONCATENATE(SUMIF($C$6:$C233,C233,$E$6:$E$370)," / ",SUMIF($C$6:$C$370,C233,$E$6:$E$370))</f>
        <v>0 / 9</v>
      </c>
      <c r="I233" s="28" t="str">
        <f>CONCATENATE(SUMIF($D$6:$D233,D233,$E$6:$E$370)," / ",SUMIF($D$6:$D$370,D233,$E$6:$E$370))</f>
        <v>86,5 / 150,5</v>
      </c>
      <c r="J233" s="28" t="str">
        <f>CONCATENATE(SUM($E$6:$E233)," / ",SUM($E$6:$E$370))</f>
        <v>1503 / 2271</v>
      </c>
      <c r="K233" s="24"/>
      <c r="L233" s="28" t="str">
        <f>CONCATENATE(SUMIF($C$6:$C233,C233,$G$6:$G$370)," / ",SUMIF($C$6:$C$370,C233,$G$6:$G$370))</f>
        <v>50 / 50</v>
      </c>
      <c r="M233" s="28" t="str">
        <f>CONCATENATE(SUMIF($D$6:$D233,D233,$G$6:$G$370)," / ",SUMIF($D$6:$D$370,D233,$G$6:$G$370))</f>
        <v>303,5 / 402,5</v>
      </c>
      <c r="N233" s="28" t="str">
        <f>CONCATENATE(SUM($G$6:$G233)," / ",SUM($G$6:$G$370))</f>
        <v>1327,5 / 2244,5</v>
      </c>
      <c r="O233" s="24" t="s">
        <v>489</v>
      </c>
      <c r="P233" s="224">
        <v>0</v>
      </c>
      <c r="Q233" s="28" t="str">
        <f>CONCATENATE(SUMIF($C$6:$C233,C233,$P$6:$P$370)," / ",SUMIF($C$6:$C$370,C233,$P$6:$P$370))</f>
        <v>0 / 1500</v>
      </c>
      <c r="R233" s="28" t="str">
        <f>CONCATENATE(SUMIF($D$6:$D233,$D233,$P$6:$P$370)," / ",SUMIF($D$6:$D$370,$D233,$P$6:$P$370))</f>
        <v>9000 / 12400</v>
      </c>
      <c r="S233" s="28" t="str">
        <f>CONCATENATE(SUM($P$6:$P233)," / ",SUM($P$6:$P$370))</f>
        <v>27450 / 30850</v>
      </c>
    </row>
    <row r="234" spans="2:19" ht="13" thickBot="1">
      <c r="B234" s="238">
        <f t="shared" ref="B234" si="84">B233+1</f>
        <v>42268</v>
      </c>
      <c r="C234" s="124">
        <f t="shared" si="80"/>
        <v>39</v>
      </c>
      <c r="D234" s="124">
        <f t="shared" si="78"/>
        <v>9</v>
      </c>
      <c r="E234" s="28">
        <v>0</v>
      </c>
      <c r="F234" s="192"/>
      <c r="G234" s="124"/>
      <c r="H234" s="28" t="str">
        <f>CONCATENATE(SUMIF($C$6:$C234,C234,$E$6:$E$370)," / ",SUMIF($C$6:$C$370,C234,$E$6:$E$370))</f>
        <v>0 / 9</v>
      </c>
      <c r="I234" s="28" t="str">
        <f>CONCATENATE(SUMIF($D$6:$D234,D234,$E$6:$E$370)," / ",SUMIF($D$6:$D$370,D234,$E$6:$E$370))</f>
        <v>86,5 / 150,5</v>
      </c>
      <c r="J234" s="28" t="str">
        <f>CONCATENATE(SUM($E$6:$E234)," / ",SUM($E$6:$E$370))</f>
        <v>1503 / 2271</v>
      </c>
      <c r="K234" s="24"/>
      <c r="L234" s="28" t="str">
        <f>CONCATENATE(SUMIF($C$6:$C234,C234,$G$6:$G$370)," / ",SUMIF($C$6:$C$370,C234,$G$6:$G$370))</f>
        <v>50 / 50</v>
      </c>
      <c r="M234" s="28" t="str">
        <f>CONCATENATE(SUMIF($D$6:$D234,D234,$G$6:$G$370)," / ",SUMIF($D$6:$D$370,D234,$G$6:$G$370))</f>
        <v>303,5 / 402,5</v>
      </c>
      <c r="N234" s="28" t="str">
        <f>CONCATENATE(SUM($G$6:$G234)," / ",SUM($G$6:$G$370))</f>
        <v>1327,5 / 2244,5</v>
      </c>
      <c r="O234" s="24"/>
      <c r="P234" s="224">
        <v>0</v>
      </c>
      <c r="Q234" s="28" t="str">
        <f>CONCATENATE(SUMIF($C$6:$C234,C234,$P$6:$P$370)," / ",SUMIF($C$6:$C$370,C234,$P$6:$P$370))</f>
        <v>0 / 1500</v>
      </c>
      <c r="R234" s="28" t="str">
        <f>CONCATENATE(SUMIF($D$6:$D234,$D234,$P$6:$P$370)," / ",SUMIF($D$6:$D$370,$D234,$P$6:$P$370))</f>
        <v>9000 / 12400</v>
      </c>
      <c r="S234" s="28" t="str">
        <f>CONCATENATE(SUM($P$6:$P234)," / ",SUM($P$6:$P$370))</f>
        <v>27450 / 30850</v>
      </c>
    </row>
    <row r="235" spans="2:19" ht="13" thickBot="1">
      <c r="B235" s="238">
        <f t="shared" ref="B235" si="85">B234+1</f>
        <v>42269</v>
      </c>
      <c r="C235" s="124">
        <f t="shared" si="80"/>
        <v>39</v>
      </c>
      <c r="D235" s="124">
        <f t="shared" si="78"/>
        <v>9</v>
      </c>
      <c r="E235" s="28">
        <v>0</v>
      </c>
      <c r="F235" s="27" t="s">
        <v>563</v>
      </c>
      <c r="G235" s="124"/>
      <c r="H235" s="28" t="str">
        <f>CONCATENATE(SUMIF($C$6:$C235,C235,$E$6:$E$370)," / ",SUMIF($C$6:$C$370,C235,$E$6:$E$370))</f>
        <v>0 / 9</v>
      </c>
      <c r="I235" s="28" t="str">
        <f>CONCATENATE(SUMIF($D$6:$D235,D235,$E$6:$E$370)," / ",SUMIF($D$6:$D$370,D235,$E$6:$E$370))</f>
        <v>86,5 / 150,5</v>
      </c>
      <c r="J235" s="28" t="str">
        <f>CONCATENATE(SUM($E$6:$E235)," / ",SUM($E$6:$E$370))</f>
        <v>1503 / 2271</v>
      </c>
      <c r="K235" s="24"/>
      <c r="L235" s="28" t="str">
        <f>CONCATENATE(SUMIF($C$6:$C235,C235,$G$6:$G$370)," / ",SUMIF($C$6:$C$370,C235,$G$6:$G$370))</f>
        <v>50 / 50</v>
      </c>
      <c r="M235" s="28" t="str">
        <f>CONCATENATE(SUMIF($D$6:$D235,D235,$G$6:$G$370)," / ",SUMIF($D$6:$D$370,D235,$G$6:$G$370))</f>
        <v>303,5 / 402,5</v>
      </c>
      <c r="N235" s="28" t="str">
        <f>CONCATENATE(SUM($G$6:$G235)," / ",SUM($G$6:$G$370))</f>
        <v>1327,5 / 2244,5</v>
      </c>
      <c r="O235" s="24"/>
      <c r="P235" s="224">
        <v>1500</v>
      </c>
      <c r="Q235" s="28" t="str">
        <f>CONCATENATE(SUMIF($C$6:$C235,C235,$P$6:$P$370)," / ",SUMIF($C$6:$C$370,C235,$P$6:$P$370))</f>
        <v>1500 / 1500</v>
      </c>
      <c r="R235" s="28" t="str">
        <f>CONCATENATE(SUMIF($D$6:$D235,$D235,$P$6:$P$370)," / ",SUMIF($D$6:$D$370,$D235,$P$6:$P$370))</f>
        <v>10500 / 12400</v>
      </c>
      <c r="S235" s="28" t="str">
        <f>CONCATENATE(SUM($P$6:$P235)," / ",SUM($P$6:$P$370))</f>
        <v>28950 / 30850</v>
      </c>
    </row>
    <row r="236" spans="2:19" ht="13" thickBot="1">
      <c r="B236" s="238">
        <f t="shared" ref="B236" si="86">B235+1</f>
        <v>42270</v>
      </c>
      <c r="C236" s="124">
        <f t="shared" si="80"/>
        <v>39</v>
      </c>
      <c r="D236" s="124">
        <f t="shared" si="78"/>
        <v>9</v>
      </c>
      <c r="E236" s="28">
        <v>0</v>
      </c>
      <c r="F236" s="27" t="s">
        <v>564</v>
      </c>
      <c r="G236" s="124"/>
      <c r="H236" s="28" t="str">
        <f>CONCATENATE(SUMIF($C$6:$C236,C236,$E$6:$E$370)," / ",SUMIF($C$6:$C$370,C236,$E$6:$E$370))</f>
        <v>0 / 9</v>
      </c>
      <c r="I236" s="28" t="str">
        <f>CONCATENATE(SUMIF($D$6:$D236,D236,$E$6:$E$370)," / ",SUMIF($D$6:$D$370,D236,$E$6:$E$370))</f>
        <v>86,5 / 150,5</v>
      </c>
      <c r="J236" s="28" t="str">
        <f>CONCATENATE(SUM($E$6:$E236)," / ",SUM($E$6:$E$370))</f>
        <v>1503 / 2271</v>
      </c>
      <c r="K236" s="24"/>
      <c r="L236" s="28" t="str">
        <f>CONCATENATE(SUMIF($C$6:$C236,C236,$G$6:$G$370)," / ",SUMIF($C$6:$C$370,C236,$G$6:$G$370))</f>
        <v>50 / 50</v>
      </c>
      <c r="M236" s="28" t="str">
        <f>CONCATENATE(SUMIF($D$6:$D236,D236,$G$6:$G$370)," / ",SUMIF($D$6:$D$370,D236,$G$6:$G$370))</f>
        <v>303,5 / 402,5</v>
      </c>
      <c r="N236" s="28" t="str">
        <f>CONCATENATE(SUM($G$6:$G236)," / ",SUM($G$6:$G$370))</f>
        <v>1327,5 / 2244,5</v>
      </c>
      <c r="O236" s="24" t="s">
        <v>489</v>
      </c>
      <c r="P236" s="224">
        <v>0</v>
      </c>
      <c r="Q236" s="28" t="str">
        <f>CONCATENATE(SUMIF($C$6:$C236,C236,$P$6:$P$370)," / ",SUMIF($C$6:$C$370,C236,$P$6:$P$370))</f>
        <v>1500 / 1500</v>
      </c>
      <c r="R236" s="28" t="str">
        <f>CONCATENATE(SUMIF($D$6:$D236,$D236,$P$6:$P$370)," / ",SUMIF($D$6:$D$370,$D236,$P$6:$P$370))</f>
        <v>10500 / 12400</v>
      </c>
      <c r="S236" s="28" t="str">
        <f>CONCATENATE(SUM($P$6:$P236)," / ",SUM($P$6:$P$370))</f>
        <v>28950 / 30850</v>
      </c>
    </row>
    <row r="237" spans="2:19" ht="13" thickBot="1">
      <c r="B237" s="238">
        <f t="shared" ref="B237" si="87">B236+1</f>
        <v>42271</v>
      </c>
      <c r="C237" s="124">
        <f t="shared" si="80"/>
        <v>39</v>
      </c>
      <c r="D237" s="124">
        <f t="shared" si="78"/>
        <v>9</v>
      </c>
      <c r="E237" s="28">
        <v>0</v>
      </c>
      <c r="F237" s="192"/>
      <c r="G237" s="124"/>
      <c r="H237" s="28" t="str">
        <f>CONCATENATE(SUMIF($C$6:$C237,C237,$E$6:$E$370)," / ",SUMIF($C$6:$C$370,C237,$E$6:$E$370))</f>
        <v>0 / 9</v>
      </c>
      <c r="I237" s="28" t="str">
        <f>CONCATENATE(SUMIF($D$6:$D237,D237,$E$6:$E$370)," / ",SUMIF($D$6:$D$370,D237,$E$6:$E$370))</f>
        <v>86,5 / 150,5</v>
      </c>
      <c r="J237" s="28" t="str">
        <f>CONCATENATE(SUM($E$6:$E237)," / ",SUM($E$6:$E$370))</f>
        <v>1503 / 2271</v>
      </c>
      <c r="K237" s="24"/>
      <c r="L237" s="28" t="str">
        <f>CONCATENATE(SUMIF($C$6:$C237,C237,$G$6:$G$370)," / ",SUMIF($C$6:$C$370,C237,$G$6:$G$370))</f>
        <v>50 / 50</v>
      </c>
      <c r="M237" s="28" t="str">
        <f>CONCATENATE(SUMIF($D$6:$D237,D237,$G$6:$G$370)," / ",SUMIF($D$6:$D$370,D237,$G$6:$G$370))</f>
        <v>303,5 / 402,5</v>
      </c>
      <c r="N237" s="28" t="str">
        <f>CONCATENATE(SUM($G$6:$G237)," / ",SUM($G$6:$G$370))</f>
        <v>1327,5 / 2244,5</v>
      </c>
      <c r="O237" s="24"/>
      <c r="P237" s="224">
        <v>0</v>
      </c>
      <c r="Q237" s="28" t="str">
        <f>CONCATENATE(SUMIF($C$6:$C237,C237,$P$6:$P$370)," / ",SUMIF($C$6:$C$370,C237,$P$6:$P$370))</f>
        <v>1500 / 1500</v>
      </c>
      <c r="R237" s="28" t="str">
        <f>CONCATENATE(SUMIF($D$6:$D237,$D237,$P$6:$P$370)," / ",SUMIF($D$6:$D$370,$D237,$P$6:$P$370))</f>
        <v>10500 / 12400</v>
      </c>
      <c r="S237" s="28" t="str">
        <f>CONCATENATE(SUM($P$6:$P237)," / ",SUM($P$6:$P$370))</f>
        <v>28950 / 30850</v>
      </c>
    </row>
    <row r="238" spans="2:19" ht="13" thickBot="1">
      <c r="B238" s="238">
        <f t="shared" ref="B238" si="88">B237+1</f>
        <v>42272</v>
      </c>
      <c r="C238" s="124">
        <f t="shared" si="80"/>
        <v>39</v>
      </c>
      <c r="D238" s="124">
        <f t="shared" si="78"/>
        <v>9</v>
      </c>
      <c r="E238" s="28">
        <v>9</v>
      </c>
      <c r="F238" s="27" t="s">
        <v>565</v>
      </c>
      <c r="G238" s="124"/>
      <c r="H238" s="28" t="str">
        <f>CONCATENATE(SUMIF($C$6:$C238,C238,$E$6:$E$370)," / ",SUMIF($C$6:$C$370,C238,$E$6:$E$370))</f>
        <v>9 / 9</v>
      </c>
      <c r="I238" s="28" t="str">
        <f>CONCATENATE(SUMIF($D$6:$D238,D238,$E$6:$E$370)," / ",SUMIF($D$6:$D$370,D238,$E$6:$E$370))</f>
        <v>95,5 / 150,5</v>
      </c>
      <c r="J238" s="28" t="str">
        <f>CONCATENATE(SUM($E$6:$E238)," / ",SUM($E$6:$E$370))</f>
        <v>1512 / 2271</v>
      </c>
      <c r="K238" s="24" t="s">
        <v>478</v>
      </c>
      <c r="L238" s="28" t="str">
        <f>CONCATENATE(SUMIF($C$6:$C238,C238,$G$6:$G$370)," / ",SUMIF($C$6:$C$370,C238,$G$6:$G$370))</f>
        <v>50 / 50</v>
      </c>
      <c r="M238" s="28" t="str">
        <f>CONCATENATE(SUMIF($D$6:$D238,D238,$G$6:$G$370)," / ",SUMIF($D$6:$D$370,D238,$G$6:$G$370))</f>
        <v>303,5 / 402,5</v>
      </c>
      <c r="N238" s="28" t="str">
        <f>CONCATENATE(SUM($G$6:$G238)," / ",SUM($G$6:$G$370))</f>
        <v>1327,5 / 2244,5</v>
      </c>
      <c r="O238" s="24"/>
      <c r="P238" s="224">
        <v>0</v>
      </c>
      <c r="Q238" s="28" t="str">
        <f>CONCATENATE(SUMIF($C$6:$C238,C238,$P$6:$P$370)," / ",SUMIF($C$6:$C$370,C238,$P$6:$P$370))</f>
        <v>1500 / 1500</v>
      </c>
      <c r="R238" s="28" t="str">
        <f>CONCATENATE(SUMIF($D$6:$D238,$D238,$P$6:$P$370)," / ",SUMIF($D$6:$D$370,$D238,$P$6:$P$370))</f>
        <v>10500 / 12400</v>
      </c>
      <c r="S238" s="28" t="str">
        <f>CONCATENATE(SUM($P$6:$P238)," / ",SUM($P$6:$P$370))</f>
        <v>28950 / 30850</v>
      </c>
    </row>
    <row r="239" spans="2:19" ht="13" thickBot="1">
      <c r="B239" s="238">
        <f t="shared" ref="B239:B302" si="89">B238+1</f>
        <v>42273</v>
      </c>
      <c r="C239" s="124">
        <f t="shared" si="80"/>
        <v>39</v>
      </c>
      <c r="D239" s="124">
        <f t="shared" si="78"/>
        <v>9</v>
      </c>
      <c r="E239" s="28">
        <v>0</v>
      </c>
      <c r="F239" s="192"/>
      <c r="G239" s="124"/>
      <c r="H239" s="28" t="str">
        <f>CONCATENATE(SUMIF($C$6:$C239,C239,$E$6:$E$370)," / ",SUMIF($C$6:$C$370,C239,$E$6:$E$370))</f>
        <v>9 / 9</v>
      </c>
      <c r="I239" s="28" t="str">
        <f>CONCATENATE(SUMIF($D$6:$D239,D239,$E$6:$E$370)," / ",SUMIF($D$6:$D$370,D239,$E$6:$E$370))</f>
        <v>95,5 / 150,5</v>
      </c>
      <c r="J239" s="28" t="str">
        <f>CONCATENATE(SUM($E$6:$E239)," / ",SUM($E$6:$E$370))</f>
        <v>1512 / 2271</v>
      </c>
      <c r="K239" s="24"/>
      <c r="L239" s="28" t="str">
        <f>CONCATENATE(SUMIF($C$6:$C239,C239,$G$6:$G$370)," / ",SUMIF($C$6:$C$370,C239,$G$6:$G$370))</f>
        <v>50 / 50</v>
      </c>
      <c r="M239" s="28" t="str">
        <f>CONCATENATE(SUMIF($D$6:$D239,D239,$G$6:$G$370)," / ",SUMIF($D$6:$D$370,D239,$G$6:$G$370))</f>
        <v>303,5 / 402,5</v>
      </c>
      <c r="N239" s="28" t="str">
        <f>CONCATENATE(SUM($G$6:$G239)," / ",SUM($G$6:$G$370))</f>
        <v>1327,5 / 2244,5</v>
      </c>
      <c r="O239" s="24"/>
      <c r="P239" s="224">
        <v>0</v>
      </c>
      <c r="Q239" s="28" t="str">
        <f>CONCATENATE(SUMIF($C$6:$C239,C239,$P$6:$P$370)," / ",SUMIF($C$6:$C$370,C239,$P$6:$P$370))</f>
        <v>1500 / 1500</v>
      </c>
      <c r="R239" s="28" t="str">
        <f>CONCATENATE(SUMIF($D$6:$D239,$D239,$P$6:$P$370)," / ",SUMIF($D$6:$D$370,$D239,$P$6:$P$370))</f>
        <v>10500 / 12400</v>
      </c>
      <c r="S239" s="28" t="str">
        <f>CONCATENATE(SUM($P$6:$P239)," / ",SUM($P$6:$P$370))</f>
        <v>28950 / 30850</v>
      </c>
    </row>
    <row r="240" spans="2:19" ht="16" thickBot="1">
      <c r="B240" s="239">
        <f t="shared" ref="B240" si="90">B239+1</f>
        <v>42274</v>
      </c>
      <c r="C240" s="193">
        <f t="shared" si="80"/>
        <v>40</v>
      </c>
      <c r="D240" s="193">
        <f t="shared" si="78"/>
        <v>9</v>
      </c>
      <c r="E240" s="194">
        <v>51</v>
      </c>
      <c r="F240" s="195" t="s">
        <v>567</v>
      </c>
      <c r="G240" s="193"/>
      <c r="H240" s="194" t="str">
        <f>CONCATENATE(SUMIF($C$6:$C240,C240,$E$6:$E$370)," / ",SUMIF($C$6:$C$370,C240,$E$6:$E$370))</f>
        <v>51 / 55</v>
      </c>
      <c r="I240" s="194" t="str">
        <f>CONCATENATE(SUMIF($D$6:$D240,D240,$E$6:$E$370)," / ",SUMIF($D$6:$D$370,D240,$E$6:$E$370))</f>
        <v>146,5 / 150,5</v>
      </c>
      <c r="J240" s="194" t="str">
        <f>CONCATENATE(SUM($E$6:$E240)," / ",SUM($E$6:$E$370))</f>
        <v>1563 / 2271</v>
      </c>
      <c r="K240" s="196" t="s">
        <v>478</v>
      </c>
      <c r="L240" s="28" t="str">
        <f>CONCATENATE(SUMIF($C$6:$C240,C240,$G$6:$G$370)," / ",SUMIF($C$6:$C$370,C240,$G$6:$G$370))</f>
        <v>0 / 99</v>
      </c>
      <c r="M240" s="28" t="str">
        <f>CONCATENATE(SUMIF($D$6:$D240,D240,$G$6:$G$370)," / ",SUMIF($D$6:$D$370,D240,$G$6:$G$370))</f>
        <v>303,5 / 402,5</v>
      </c>
      <c r="N240" s="28" t="str">
        <f>CONCATENATE(SUM($G$6:$G240)," / ",SUM($G$6:$G$370))</f>
        <v>1327,5 / 2244,5</v>
      </c>
      <c r="O240" s="24"/>
      <c r="P240" s="224">
        <v>0</v>
      </c>
      <c r="Q240" s="28" t="str">
        <f>CONCATENATE(SUMIF($C$6:$C240,C240,$P$6:$P$370)," / ",SUMIF($C$6:$C$370,C240,$P$6:$P$370))</f>
        <v>0 / 1900</v>
      </c>
      <c r="R240" s="28" t="str">
        <f>CONCATENATE(SUMIF($D$6:$D240,$D240,$P$6:$P$370)," / ",SUMIF($D$6:$D$370,$D240,$P$6:$P$370))</f>
        <v>10500 / 12400</v>
      </c>
      <c r="S240" s="28" t="str">
        <f>CONCATENATE(SUM($P$6:$P240)," / ",SUM($P$6:$P$370))</f>
        <v>28950 / 30850</v>
      </c>
    </row>
    <row r="241" spans="1:22" ht="13" thickBot="1">
      <c r="A241" s="18"/>
      <c r="B241" s="238">
        <f t="shared" si="89"/>
        <v>42275</v>
      </c>
      <c r="C241" s="124">
        <f t="shared" si="80"/>
        <v>40</v>
      </c>
      <c r="D241" s="124">
        <f t="shared" ref="D241:D304" si="91">MONTH(B241)</f>
        <v>9</v>
      </c>
      <c r="E241" s="28">
        <v>0</v>
      </c>
      <c r="F241" s="27" t="s">
        <v>566</v>
      </c>
      <c r="G241" s="124">
        <v>45</v>
      </c>
      <c r="H241" s="28" t="str">
        <f>CONCATENATE(SUMIF($C$6:$C241,C241,$E$6:$E$370)," / ",SUMIF($C$6:$C$370,C241,$E$6:$E$370))</f>
        <v>51 / 55</v>
      </c>
      <c r="I241" s="28" t="str">
        <f>CONCATENATE(SUMIF($D$6:$D241,D241,$E$6:$E$370)," / ",SUMIF($D$6:$D$370,D241,$E$6:$E$370))</f>
        <v>146,5 / 150,5</v>
      </c>
      <c r="J241" s="28" t="str">
        <f>CONCATENATE(SUM($E$6:$E241)," / ",SUM($E$6:$E$370))</f>
        <v>1563 / 2271</v>
      </c>
      <c r="K241" s="24"/>
      <c r="L241" s="28" t="str">
        <f>CONCATENATE(SUMIF($C$6:$C241,C241,$G$6:$G$370)," / ",SUMIF($C$6:$C$370,C241,$G$6:$G$370))</f>
        <v>45 / 99</v>
      </c>
      <c r="M241" s="28" t="str">
        <f>CONCATENATE(SUMIF($D$6:$D241,D241,$G$6:$G$370)," / ",SUMIF($D$6:$D$370,D241,$G$6:$G$370))</f>
        <v>348,5 / 402,5</v>
      </c>
      <c r="N241" s="28" t="str">
        <f>CONCATENATE(SUM($G$6:$G241)," / ",SUM($G$6:$G$370))</f>
        <v>1372,5 / 2244,5</v>
      </c>
      <c r="O241" s="24" t="s">
        <v>489</v>
      </c>
      <c r="P241" s="224">
        <v>0</v>
      </c>
      <c r="Q241" s="28" t="str">
        <f>CONCATENATE(SUMIF($C$6:$C241,C241,$P$6:$P$370)," / ",SUMIF($C$6:$C$370,C241,$P$6:$P$370))</f>
        <v>0 / 1900</v>
      </c>
      <c r="R241" s="28" t="str">
        <f>CONCATENATE(SUMIF($D$6:$D241,$D241,$P$6:$P$370)," / ",SUMIF($D$6:$D$370,$D241,$P$6:$P$370))</f>
        <v>10500 / 12400</v>
      </c>
      <c r="S241" s="28" t="str">
        <f>CONCATENATE(SUM($P$6:$P241)," / ",SUM($P$6:$P$370))</f>
        <v>28950 / 30850</v>
      </c>
      <c r="T241" s="18"/>
      <c r="U241" s="18"/>
      <c r="V241" s="21"/>
    </row>
    <row r="242" spans="1:22" ht="13" thickBot="1">
      <c r="A242" s="18"/>
      <c r="B242" s="238">
        <f t="shared" si="89"/>
        <v>42276</v>
      </c>
      <c r="C242" s="124">
        <f t="shared" si="80"/>
        <v>40</v>
      </c>
      <c r="D242" s="124">
        <f t="shared" si="91"/>
        <v>9</v>
      </c>
      <c r="E242" s="28">
        <v>4</v>
      </c>
      <c r="F242" s="27" t="s">
        <v>568</v>
      </c>
      <c r="G242" s="124"/>
      <c r="H242" s="28" t="str">
        <f>CONCATENATE(SUMIF($C$6:$C242,C242,$E$6:$E$370)," / ",SUMIF($C$6:$C$370,C242,$E$6:$E$370))</f>
        <v>55 / 55</v>
      </c>
      <c r="I242" s="28" t="str">
        <f>CONCATENATE(SUMIF($D$6:$D242,D242,$E$6:$E$370)," / ",SUMIF($D$6:$D$370,D242,$E$6:$E$370))</f>
        <v>150,5 / 150,5</v>
      </c>
      <c r="J242" s="28" t="str">
        <f>CONCATENATE(SUM($E$6:$E242)," / ",SUM($E$6:$E$370))</f>
        <v>1567 / 2271</v>
      </c>
      <c r="K242" s="24" t="s">
        <v>380</v>
      </c>
      <c r="L242" s="28" t="str">
        <f>CONCATENATE(SUMIF($C$6:$C242,C242,$G$6:$G$370)," / ",SUMIF($C$6:$C$370,C242,$G$6:$G$370))</f>
        <v>45 / 99</v>
      </c>
      <c r="M242" s="28" t="str">
        <f>CONCATENATE(SUMIF($D$6:$D242,D242,$G$6:$G$370)," / ",SUMIF($D$6:$D$370,D242,$G$6:$G$370))</f>
        <v>348,5 / 402,5</v>
      </c>
      <c r="N242" s="28" t="str">
        <f>CONCATENATE(SUM($G$6:$G242)," / ",SUM($G$6:$G$370))</f>
        <v>1372,5 / 2244,5</v>
      </c>
      <c r="O242" s="24"/>
      <c r="P242" s="224">
        <v>1900</v>
      </c>
      <c r="Q242" s="28" t="str">
        <f>CONCATENATE(SUMIF($C$6:$C242,C242,$P$6:$P$370)," / ",SUMIF($C$6:$C$370,C242,$P$6:$P$370))</f>
        <v>1900 / 1900</v>
      </c>
      <c r="R242" s="28" t="str">
        <f>CONCATENATE(SUMIF($D$6:$D242,$D242,$P$6:$P$370)," / ",SUMIF($D$6:$D$370,$D242,$P$6:$P$370))</f>
        <v>12400 / 12400</v>
      </c>
      <c r="S242" s="28" t="str">
        <f>CONCATENATE(SUM($P$6:$P242)," / ",SUM($P$6:$P$370))</f>
        <v>30850 / 30850</v>
      </c>
      <c r="T242" s="18"/>
      <c r="U242" s="18"/>
      <c r="V242" s="21"/>
    </row>
    <row r="243" spans="1:22" ht="13" thickBot="1">
      <c r="A243" s="18"/>
      <c r="B243" s="238">
        <f t="shared" si="89"/>
        <v>42277</v>
      </c>
      <c r="C243" s="124">
        <f t="shared" si="80"/>
        <v>40</v>
      </c>
      <c r="D243" s="124">
        <f t="shared" si="91"/>
        <v>9</v>
      </c>
      <c r="E243" s="28">
        <v>0</v>
      </c>
      <c r="F243" s="27" t="s">
        <v>569</v>
      </c>
      <c r="G243" s="124">
        <v>54</v>
      </c>
      <c r="H243" s="28" t="str">
        <f>CONCATENATE(SUMIF($C$6:$C243,C243,$E$6:$E$370)," / ",SUMIF($C$6:$C$370,C243,$E$6:$E$370))</f>
        <v>55 / 55</v>
      </c>
      <c r="I243" s="28" t="str">
        <f>CONCATENATE(SUMIF($D$6:$D243,D243,$E$6:$E$370)," / ",SUMIF($D$6:$D$370,D243,$E$6:$E$370))</f>
        <v>150,5 / 150,5</v>
      </c>
      <c r="J243" s="28" t="str">
        <f>CONCATENATE(SUM($E$6:$E243)," / ",SUM($E$6:$E$370))</f>
        <v>1567 / 2271</v>
      </c>
      <c r="K243" s="24"/>
      <c r="L243" s="28" t="str">
        <f>CONCATENATE(SUMIF($C$6:$C243,C243,$G$6:$G$370)," / ",SUMIF($C$6:$C$370,C243,$G$6:$G$370))</f>
        <v>99 / 99</v>
      </c>
      <c r="M243" s="28" t="str">
        <f>CONCATENATE(SUMIF($D$6:$D243,D243,$G$6:$G$370)," / ",SUMIF($D$6:$D$370,D243,$G$6:$G$370))</f>
        <v>402,5 / 402,5</v>
      </c>
      <c r="N243" s="28" t="str">
        <f>CONCATENATE(SUM($G$6:$G243)," / ",SUM($G$6:$G$370))</f>
        <v>1426,5 / 2244,5</v>
      </c>
      <c r="O243" s="24" t="s">
        <v>489</v>
      </c>
      <c r="P243" s="224">
        <v>0</v>
      </c>
      <c r="Q243" s="28" t="str">
        <f>CONCATENATE(SUMIF($C$6:$C243,C243,$P$6:$P$370)," / ",SUMIF($C$6:$C$370,C243,$P$6:$P$370))</f>
        <v>1900 / 1900</v>
      </c>
      <c r="R243" s="28" t="str">
        <f>CONCATENATE(SUMIF($D$6:$D243,$D243,$P$6:$P$370)," / ",SUMIF($D$6:$D$370,$D243,$P$6:$P$370))</f>
        <v>12400 / 12400</v>
      </c>
      <c r="S243" s="28" t="str">
        <f>CONCATENATE(SUM($P$6:$P243)," / ",SUM($P$6:$P$370))</f>
        <v>30850 / 30850</v>
      </c>
      <c r="T243" s="18"/>
      <c r="U243" s="18"/>
      <c r="V243" s="21"/>
    </row>
    <row r="244" spans="1:22" ht="13" thickBot="1">
      <c r="A244" s="18"/>
      <c r="B244" s="238">
        <f t="shared" si="89"/>
        <v>42278</v>
      </c>
      <c r="C244" s="124">
        <f t="shared" si="80"/>
        <v>40</v>
      </c>
      <c r="D244" s="124">
        <f t="shared" si="91"/>
        <v>10</v>
      </c>
      <c r="E244" s="28">
        <v>0</v>
      </c>
      <c r="F244" s="192"/>
      <c r="G244" s="124"/>
      <c r="H244" s="28" t="str">
        <f>CONCATENATE(SUMIF($C$6:$C244,C244,$E$6:$E$370)," / ",SUMIF($C$6:$C$370,C244,$E$6:$E$370))</f>
        <v>55 / 55</v>
      </c>
      <c r="I244" s="28" t="str">
        <f>CONCATENATE(SUMIF($D$6:$D244,D244,$E$6:$E$370)," / ",SUMIF($D$6:$D$370,D244,$E$6:$E$370))</f>
        <v>0 / 158</v>
      </c>
      <c r="J244" s="28" t="str">
        <f>CONCATENATE(SUM($E$6:$E244)," / ",SUM($E$6:$E$370))</f>
        <v>1567 / 2271</v>
      </c>
      <c r="K244" s="24"/>
      <c r="L244" s="28" t="str">
        <f>CONCATENATE(SUMIF($C$6:$C244,C244,$G$6:$G$370)," / ",SUMIF($C$6:$C$370,C244,$G$6:$G$370))</f>
        <v>99 / 99</v>
      </c>
      <c r="M244" s="28" t="str">
        <f>CONCATENATE(SUMIF($D$6:$D244,D244,$G$6:$G$370)," / ",SUMIF($D$6:$D$370,D244,$G$6:$G$370))</f>
        <v>0 / 306</v>
      </c>
      <c r="N244" s="28" t="str">
        <f>CONCATENATE(SUM($G$6:$G244)," / ",SUM($G$6:$G$370))</f>
        <v>1426,5 / 2244,5</v>
      </c>
      <c r="O244" s="24"/>
      <c r="P244" s="224">
        <v>0</v>
      </c>
      <c r="Q244" s="28" t="str">
        <f>CONCATENATE(SUMIF($C$6:$C244,C244,$P$6:$P$370)," / ",SUMIF($C$6:$C$370,C244,$P$6:$P$370))</f>
        <v>1900 / 1900</v>
      </c>
      <c r="R244" s="28" t="str">
        <f>CONCATENATE(SUMIF($D$6:$D244,$D244,$P$6:$P$370)," / ",SUMIF($D$6:$D$370,$D244,$P$6:$P$370))</f>
        <v>0 / 0</v>
      </c>
      <c r="S244" s="28" t="str">
        <f>CONCATENATE(SUM($P$6:$P244)," / ",SUM($P$6:$P$370))</f>
        <v>30850 / 30850</v>
      </c>
      <c r="T244" s="18"/>
      <c r="U244" s="18"/>
      <c r="V244" s="21"/>
    </row>
    <row r="245" spans="1:22" ht="13" thickBot="1">
      <c r="A245" s="18"/>
      <c r="B245" s="238">
        <f t="shared" si="89"/>
        <v>42279</v>
      </c>
      <c r="C245" s="124">
        <f t="shared" si="80"/>
        <v>40</v>
      </c>
      <c r="D245" s="124">
        <f t="shared" si="91"/>
        <v>10</v>
      </c>
      <c r="E245" s="28">
        <v>0</v>
      </c>
      <c r="F245" s="192"/>
      <c r="G245" s="124"/>
      <c r="H245" s="28" t="str">
        <f>CONCATENATE(SUMIF($C$6:$C245,C245,$E$6:$E$370)," / ",SUMIF($C$6:$C$370,C245,$E$6:$E$370))</f>
        <v>55 / 55</v>
      </c>
      <c r="I245" s="28" t="str">
        <f>CONCATENATE(SUMIF($D$6:$D245,D245,$E$6:$E$370)," / ",SUMIF($D$6:$D$370,D245,$E$6:$E$370))</f>
        <v>0 / 158</v>
      </c>
      <c r="J245" s="28" t="str">
        <f>CONCATENATE(SUM($E$6:$E245)," / ",SUM($E$6:$E$370))</f>
        <v>1567 / 2271</v>
      </c>
      <c r="K245" s="24"/>
      <c r="L245" s="28" t="str">
        <f>CONCATENATE(SUMIF($C$6:$C245,C245,$G$6:$G$370)," / ",SUMIF($C$6:$C$370,C245,$G$6:$G$370))</f>
        <v>99 / 99</v>
      </c>
      <c r="M245" s="28" t="str">
        <f>CONCATENATE(SUMIF($D$6:$D245,D245,$G$6:$G$370)," / ",SUMIF($D$6:$D$370,D245,$G$6:$G$370))</f>
        <v>0 / 306</v>
      </c>
      <c r="N245" s="28" t="str">
        <f>CONCATENATE(SUM($G$6:$G245)," / ",SUM($G$6:$G$370))</f>
        <v>1426,5 / 2244,5</v>
      </c>
      <c r="O245" s="24"/>
      <c r="P245" s="224">
        <v>0</v>
      </c>
      <c r="Q245" s="28" t="str">
        <f>CONCATENATE(SUMIF($C$6:$C245,C245,$P$6:$P$370)," / ",SUMIF($C$6:$C$370,C245,$P$6:$P$370))</f>
        <v>1900 / 1900</v>
      </c>
      <c r="R245" s="28" t="str">
        <f>CONCATENATE(SUMIF($D$6:$D245,$D245,$P$6:$P$370)," / ",SUMIF($D$6:$D$370,$D245,$P$6:$P$370))</f>
        <v>0 / 0</v>
      </c>
      <c r="S245" s="28" t="str">
        <f>CONCATENATE(SUM($P$6:$P245)," / ",SUM($P$6:$P$370))</f>
        <v>30850 / 30850</v>
      </c>
      <c r="T245" s="18"/>
      <c r="U245" s="18"/>
      <c r="V245" s="21"/>
    </row>
    <row r="246" spans="1:22" ht="13" thickBot="1">
      <c r="A246" s="18"/>
      <c r="B246" s="238">
        <f t="shared" si="89"/>
        <v>42280</v>
      </c>
      <c r="C246" s="124">
        <f t="shared" si="80"/>
        <v>40</v>
      </c>
      <c r="D246" s="124">
        <f t="shared" si="91"/>
        <v>10</v>
      </c>
      <c r="E246" s="28">
        <v>0</v>
      </c>
      <c r="F246" s="27" t="s">
        <v>571</v>
      </c>
      <c r="G246" s="124"/>
      <c r="H246" s="28" t="str">
        <f>CONCATENATE(SUMIF($C$6:$C246,C246,$E$6:$E$370)," / ",SUMIF($C$6:$C$370,C246,$E$6:$E$370))</f>
        <v>55 / 55</v>
      </c>
      <c r="I246" s="28" t="str">
        <f>CONCATENATE(SUMIF($D$6:$D246,D246,$E$6:$E$370)," / ",SUMIF($D$6:$D$370,D246,$E$6:$E$370))</f>
        <v>0 / 158</v>
      </c>
      <c r="J246" s="28" t="str">
        <f>CONCATENATE(SUM($E$6:$E246)," / ",SUM($E$6:$E$370))</f>
        <v>1567 / 2271</v>
      </c>
      <c r="K246" s="24" t="s">
        <v>380</v>
      </c>
      <c r="L246" s="28" t="str">
        <f>CONCATENATE(SUMIF($C$6:$C246,C246,$G$6:$G$370)," / ",SUMIF($C$6:$C$370,C246,$G$6:$G$370))</f>
        <v>99 / 99</v>
      </c>
      <c r="M246" s="28" t="str">
        <f>CONCATENATE(SUMIF($D$6:$D246,D246,$G$6:$G$370)," / ",SUMIF($D$6:$D$370,D246,$G$6:$G$370))</f>
        <v>0 / 306</v>
      </c>
      <c r="N246" s="28" t="str">
        <f>CONCATENATE(SUM($G$6:$G246)," / ",SUM($G$6:$G$370))</f>
        <v>1426,5 / 2244,5</v>
      </c>
      <c r="O246" s="24"/>
      <c r="P246" s="224">
        <v>0</v>
      </c>
      <c r="Q246" s="28" t="str">
        <f>CONCATENATE(SUMIF($C$6:$C246,C246,$P$6:$P$370)," / ",SUMIF($C$6:$C$370,C246,$P$6:$P$370))</f>
        <v>1900 / 1900</v>
      </c>
      <c r="R246" s="28" t="str">
        <f>CONCATENATE(SUMIF($D$6:$D246,$D246,$P$6:$P$370)," / ",SUMIF($D$6:$D$370,$D246,$P$6:$P$370))</f>
        <v>0 / 0</v>
      </c>
      <c r="S246" s="28" t="str">
        <f>CONCATENATE(SUM($P$6:$P246)," / ",SUM($P$6:$P$370))</f>
        <v>30850 / 30850</v>
      </c>
      <c r="T246" s="18"/>
      <c r="U246" s="18"/>
      <c r="V246" s="21"/>
    </row>
    <row r="247" spans="1:22" ht="13" thickBot="1">
      <c r="A247" s="18"/>
      <c r="B247" s="238">
        <f t="shared" si="89"/>
        <v>42281</v>
      </c>
      <c r="C247" s="124">
        <f t="shared" si="80"/>
        <v>41</v>
      </c>
      <c r="D247" s="124">
        <f t="shared" si="91"/>
        <v>10</v>
      </c>
      <c r="E247" s="28">
        <v>0</v>
      </c>
      <c r="F247" s="27" t="s">
        <v>573</v>
      </c>
      <c r="G247" s="124">
        <v>15</v>
      </c>
      <c r="H247" s="28" t="str">
        <f>CONCATENATE(SUMIF($C$6:$C247,C247,$E$6:$E$370)," / ",SUMIF($C$6:$C$370,C247,$E$6:$E$370))</f>
        <v>0 / 20</v>
      </c>
      <c r="I247" s="28" t="str">
        <f>CONCATENATE(SUMIF($D$6:$D247,D247,$E$6:$E$370)," / ",SUMIF($D$6:$D$370,D247,$E$6:$E$370))</f>
        <v>0 / 158</v>
      </c>
      <c r="J247" s="28" t="str">
        <f>CONCATENATE(SUM($E$6:$E247)," / ",SUM($E$6:$E$370))</f>
        <v>1567 / 2271</v>
      </c>
      <c r="K247" s="24"/>
      <c r="L247" s="28" t="str">
        <f>CONCATENATE(SUMIF($C$6:$C247,C247,$G$6:$G$370)," / ",SUMIF($C$6:$C$370,C247,$G$6:$G$370))</f>
        <v>15 / 124</v>
      </c>
      <c r="M247" s="28" t="str">
        <f>CONCATENATE(SUMIF($D$6:$D247,D247,$G$6:$G$370)," / ",SUMIF($D$6:$D$370,D247,$G$6:$G$370))</f>
        <v>15 / 306</v>
      </c>
      <c r="N247" s="28" t="str">
        <f>CONCATENATE(SUM($G$6:$G247)," / ",SUM($G$6:$G$370))</f>
        <v>1441,5 / 2244,5</v>
      </c>
      <c r="O247" s="24"/>
      <c r="P247" s="224">
        <v>0</v>
      </c>
      <c r="Q247" s="28" t="str">
        <f>CONCATENATE(SUMIF($C$6:$C247,C247,$P$6:$P$370)," / ",SUMIF($C$6:$C$370,C247,$P$6:$P$370))</f>
        <v>0 / 0</v>
      </c>
      <c r="R247" s="28" t="str">
        <f>CONCATENATE(SUMIF($D$6:$D247,$D247,$P$6:$P$370)," / ",SUMIF($D$6:$D$370,$D247,$P$6:$P$370))</f>
        <v>0 / 0</v>
      </c>
      <c r="S247" s="28" t="str">
        <f>CONCATENATE(SUM($P$6:$P247)," / ",SUM($P$6:$P$370))</f>
        <v>30850 / 30850</v>
      </c>
      <c r="T247" s="18"/>
      <c r="U247" s="18"/>
      <c r="V247" s="21"/>
    </row>
    <row r="248" spans="1:22" ht="13" thickBot="1">
      <c r="A248" s="18"/>
      <c r="B248" s="238">
        <f t="shared" si="89"/>
        <v>42282</v>
      </c>
      <c r="C248" s="124">
        <f t="shared" si="80"/>
        <v>41</v>
      </c>
      <c r="D248" s="124">
        <f t="shared" si="91"/>
        <v>10</v>
      </c>
      <c r="E248" s="28">
        <v>0</v>
      </c>
      <c r="F248" s="192"/>
      <c r="G248" s="124"/>
      <c r="H248" s="28" t="str">
        <f>CONCATENATE(SUMIF($C$6:$C248,C248,$E$6:$E$370)," / ",SUMIF($C$6:$C$370,C248,$E$6:$E$370))</f>
        <v>0 / 20</v>
      </c>
      <c r="I248" s="28" t="str">
        <f>CONCATENATE(SUMIF($D$6:$D248,D248,$E$6:$E$370)," / ",SUMIF($D$6:$D$370,D248,$E$6:$E$370))</f>
        <v>0 / 158</v>
      </c>
      <c r="J248" s="28" t="str">
        <f>CONCATENATE(SUM($E$6:$E248)," / ",SUM($E$6:$E$370))</f>
        <v>1567 / 2271</v>
      </c>
      <c r="K248" s="24"/>
      <c r="L248" s="28" t="str">
        <f>CONCATENATE(SUMIF($C$6:$C248,C248,$G$6:$G$370)," / ",SUMIF($C$6:$C$370,C248,$G$6:$G$370))</f>
        <v>15 / 124</v>
      </c>
      <c r="M248" s="28" t="str">
        <f>CONCATENATE(SUMIF($D$6:$D248,D248,$G$6:$G$370)," / ",SUMIF($D$6:$D$370,D248,$G$6:$G$370))</f>
        <v>15 / 306</v>
      </c>
      <c r="N248" s="28" t="str">
        <f>CONCATENATE(SUM($G$6:$G248)," / ",SUM($G$6:$G$370))</f>
        <v>1441,5 / 2244,5</v>
      </c>
      <c r="O248" s="24"/>
      <c r="P248" s="224">
        <v>0</v>
      </c>
      <c r="Q248" s="28" t="str">
        <f>CONCATENATE(SUMIF($C$6:$C248,C248,$P$6:$P$370)," / ",SUMIF($C$6:$C$370,C248,$P$6:$P$370))</f>
        <v>0 / 0</v>
      </c>
      <c r="R248" s="28" t="str">
        <f>CONCATENATE(SUMIF($D$6:$D248,$D248,$P$6:$P$370)," / ",SUMIF($D$6:$D$370,$D248,$P$6:$P$370))</f>
        <v>0 / 0</v>
      </c>
      <c r="S248" s="28" t="str">
        <f>CONCATENATE(SUM($P$6:$P248)," / ",SUM($P$6:$P$370))</f>
        <v>30850 / 30850</v>
      </c>
      <c r="T248" s="18"/>
      <c r="U248" s="18"/>
      <c r="V248" s="21"/>
    </row>
    <row r="249" spans="1:22" ht="13" thickBot="1">
      <c r="A249" s="18"/>
      <c r="B249" s="238">
        <f t="shared" si="89"/>
        <v>42283</v>
      </c>
      <c r="C249" s="124">
        <f t="shared" si="80"/>
        <v>41</v>
      </c>
      <c r="D249" s="124">
        <f t="shared" si="91"/>
        <v>10</v>
      </c>
      <c r="E249" s="28">
        <v>0</v>
      </c>
      <c r="F249" s="192"/>
      <c r="G249" s="124"/>
      <c r="H249" s="28" t="str">
        <f>CONCATENATE(SUMIF($C$6:$C249,C249,$E$6:$E$370)," / ",SUMIF($C$6:$C$370,C249,$E$6:$E$370))</f>
        <v>0 / 20</v>
      </c>
      <c r="I249" s="28" t="str">
        <f>CONCATENATE(SUMIF($D$6:$D249,D249,$E$6:$E$370)," / ",SUMIF($D$6:$D$370,D249,$E$6:$E$370))</f>
        <v>0 / 158</v>
      </c>
      <c r="J249" s="28" t="str">
        <f>CONCATENATE(SUM($E$6:$E249)," / ",SUM($E$6:$E$370))</f>
        <v>1567 / 2271</v>
      </c>
      <c r="K249" s="24"/>
      <c r="L249" s="28" t="str">
        <f>CONCATENATE(SUMIF($C$6:$C249,C249,$G$6:$G$370)," / ",SUMIF($C$6:$C$370,C249,$G$6:$G$370))</f>
        <v>15 / 124</v>
      </c>
      <c r="M249" s="28" t="str">
        <f>CONCATENATE(SUMIF($D$6:$D249,D249,$G$6:$G$370)," / ",SUMIF($D$6:$D$370,D249,$G$6:$G$370))</f>
        <v>15 / 306</v>
      </c>
      <c r="N249" s="28" t="str">
        <f>CONCATENATE(SUM($G$6:$G249)," / ",SUM($G$6:$G$370))</f>
        <v>1441,5 / 2244,5</v>
      </c>
      <c r="O249" s="24"/>
      <c r="P249" s="224">
        <v>0</v>
      </c>
      <c r="Q249" s="28" t="str">
        <f>CONCATENATE(SUMIF($C$6:$C249,C249,$P$6:$P$370)," / ",SUMIF($C$6:$C$370,C249,$P$6:$P$370))</f>
        <v>0 / 0</v>
      </c>
      <c r="R249" s="28" t="str">
        <f>CONCATENATE(SUMIF($D$6:$D249,$D249,$P$6:$P$370)," / ",SUMIF($D$6:$D$370,$D249,$P$6:$P$370))</f>
        <v>0 / 0</v>
      </c>
      <c r="S249" s="28" t="str">
        <f>CONCATENATE(SUM($P$6:$P249)," / ",SUM($P$6:$P$370))</f>
        <v>30850 / 30850</v>
      </c>
      <c r="T249" s="18"/>
      <c r="U249" s="18"/>
      <c r="V249" s="21"/>
    </row>
    <row r="250" spans="1:22" ht="13" thickBot="1">
      <c r="A250" s="18"/>
      <c r="B250" s="238">
        <f t="shared" si="89"/>
        <v>42284</v>
      </c>
      <c r="C250" s="124">
        <f t="shared" si="80"/>
        <v>41</v>
      </c>
      <c r="D250" s="124">
        <f t="shared" si="91"/>
        <v>10</v>
      </c>
      <c r="E250" s="28">
        <v>0</v>
      </c>
      <c r="F250" s="27" t="s">
        <v>572</v>
      </c>
      <c r="G250" s="124">
        <v>36</v>
      </c>
      <c r="H250" s="28" t="str">
        <f>CONCATENATE(SUMIF($C$6:$C250,C250,$E$6:$E$370)," / ",SUMIF($C$6:$C$370,C250,$E$6:$E$370))</f>
        <v>0 / 20</v>
      </c>
      <c r="I250" s="28" t="str">
        <f>CONCATENATE(SUMIF($D$6:$D250,D250,$E$6:$E$370)," / ",SUMIF($D$6:$D$370,D250,$E$6:$E$370))</f>
        <v>0 / 158</v>
      </c>
      <c r="J250" s="28" t="str">
        <f>CONCATENATE(SUM($E$6:$E250)," / ",SUM($E$6:$E$370))</f>
        <v>1567 / 2271</v>
      </c>
      <c r="K250" s="24"/>
      <c r="L250" s="28" t="str">
        <f>CONCATENATE(SUMIF($C$6:$C250,C250,$G$6:$G$370)," / ",SUMIF($C$6:$C$370,C250,$G$6:$G$370))</f>
        <v>51 / 124</v>
      </c>
      <c r="M250" s="28" t="str">
        <f>CONCATENATE(SUMIF($D$6:$D250,D250,$G$6:$G$370)," / ",SUMIF($D$6:$D$370,D250,$G$6:$G$370))</f>
        <v>51 / 306</v>
      </c>
      <c r="N250" s="28" t="str">
        <f>CONCATENATE(SUM($G$6:$G250)," / ",SUM($G$6:$G$370))</f>
        <v>1477,5 / 2244,5</v>
      </c>
      <c r="O250" s="24" t="s">
        <v>489</v>
      </c>
      <c r="P250" s="224">
        <v>0</v>
      </c>
      <c r="Q250" s="28" t="str">
        <f>CONCATENATE(SUMIF($C$6:$C250,C250,$P$6:$P$370)," / ",SUMIF($C$6:$C$370,C250,$P$6:$P$370))</f>
        <v>0 / 0</v>
      </c>
      <c r="R250" s="28" t="str">
        <f>CONCATENATE(SUMIF($D$6:$D250,$D250,$P$6:$P$370)," / ",SUMIF($D$6:$D$370,$D250,$P$6:$P$370))</f>
        <v>0 / 0</v>
      </c>
      <c r="S250" s="28" t="str">
        <f>CONCATENATE(SUM($P$6:$P250)," / ",SUM($P$6:$P$370))</f>
        <v>30850 / 30850</v>
      </c>
      <c r="T250" s="18"/>
      <c r="U250" s="18"/>
      <c r="V250" s="21"/>
    </row>
    <row r="251" spans="1:22" ht="13" thickBot="1">
      <c r="A251" s="18"/>
      <c r="B251" s="238">
        <f t="shared" si="89"/>
        <v>42285</v>
      </c>
      <c r="C251" s="124">
        <f t="shared" si="80"/>
        <v>41</v>
      </c>
      <c r="D251" s="124">
        <f t="shared" si="91"/>
        <v>10</v>
      </c>
      <c r="E251" s="28">
        <v>0</v>
      </c>
      <c r="F251" s="27" t="s">
        <v>570</v>
      </c>
      <c r="G251" s="124">
        <v>30</v>
      </c>
      <c r="H251" s="28" t="str">
        <f>CONCATENATE(SUMIF($C$6:$C251,C251,$E$6:$E$370)," / ",SUMIF($C$6:$C$370,C251,$E$6:$E$370))</f>
        <v>0 / 20</v>
      </c>
      <c r="I251" s="28" t="str">
        <f>CONCATENATE(SUMIF($D$6:$D251,D251,$E$6:$E$370)," / ",SUMIF($D$6:$D$370,D251,$E$6:$E$370))</f>
        <v>0 / 158</v>
      </c>
      <c r="J251" s="28" t="str">
        <f>CONCATENATE(SUM($E$6:$E251)," / ",SUM($E$6:$E$370))</f>
        <v>1567 / 2271</v>
      </c>
      <c r="K251" s="24"/>
      <c r="L251" s="28" t="str">
        <f>CONCATENATE(SUMIF($C$6:$C251,C251,$G$6:$G$370)," / ",SUMIF($C$6:$C$370,C251,$G$6:$G$370))</f>
        <v>81 / 124</v>
      </c>
      <c r="M251" s="28" t="str">
        <f>CONCATENATE(SUMIF($D$6:$D251,D251,$G$6:$G$370)," / ",SUMIF($D$6:$D$370,D251,$G$6:$G$370))</f>
        <v>81 / 306</v>
      </c>
      <c r="N251" s="28" t="str">
        <f>CONCATENATE(SUM($G$6:$G251)," / ",SUM($G$6:$G$370))</f>
        <v>1507,5 / 2244,5</v>
      </c>
      <c r="O251" s="24" t="s">
        <v>489</v>
      </c>
      <c r="P251" s="224">
        <v>0</v>
      </c>
      <c r="Q251" s="28" t="str">
        <f>CONCATENATE(SUMIF($C$6:$C251,C251,$P$6:$P$370)," / ",SUMIF($C$6:$C$370,C251,$P$6:$P$370))</f>
        <v>0 / 0</v>
      </c>
      <c r="R251" s="28" t="str">
        <f>CONCATENATE(SUMIF($D$6:$D251,$D251,$P$6:$P$370)," / ",SUMIF($D$6:$D$370,$D251,$P$6:$P$370))</f>
        <v>0 / 0</v>
      </c>
      <c r="S251" s="28" t="str">
        <f>CONCATENATE(SUM($P$6:$P251)," / ",SUM($P$6:$P$370))</f>
        <v>30850 / 30850</v>
      </c>
      <c r="T251" s="18"/>
      <c r="U251" s="18"/>
      <c r="V251" s="21"/>
    </row>
    <row r="252" spans="1:22" ht="13" thickBot="1">
      <c r="A252" s="18"/>
      <c r="B252" s="238">
        <f t="shared" si="89"/>
        <v>42286</v>
      </c>
      <c r="C252" s="124">
        <f t="shared" si="80"/>
        <v>41</v>
      </c>
      <c r="D252" s="124">
        <f t="shared" si="91"/>
        <v>10</v>
      </c>
      <c r="E252" s="28">
        <v>6</v>
      </c>
      <c r="F252" s="27" t="s">
        <v>574</v>
      </c>
      <c r="G252" s="124">
        <v>43</v>
      </c>
      <c r="H252" s="28" t="str">
        <f>CONCATENATE(SUMIF($C$6:$C252,C252,$E$6:$E$370)," / ",SUMIF($C$6:$C$370,C252,$E$6:$E$370))</f>
        <v>6 / 20</v>
      </c>
      <c r="I252" s="28" t="str">
        <f>CONCATENATE(SUMIF($D$6:$D252,D252,$E$6:$E$370)," / ",SUMIF($D$6:$D$370,D252,$E$6:$E$370))</f>
        <v>6 / 158</v>
      </c>
      <c r="J252" s="28" t="str">
        <f>CONCATENATE(SUM($E$6:$E252)," / ",SUM($E$6:$E$370))</f>
        <v>1573 / 2271</v>
      </c>
      <c r="K252" s="24" t="s">
        <v>380</v>
      </c>
      <c r="L252" s="28" t="str">
        <f>CONCATENATE(SUMIF($C$6:$C252,C252,$G$6:$G$370)," / ",SUMIF($C$6:$C$370,C252,$G$6:$G$370))</f>
        <v>124 / 124</v>
      </c>
      <c r="M252" s="28" t="str">
        <f>CONCATENATE(SUMIF($D$6:$D252,D252,$G$6:$G$370)," / ",SUMIF($D$6:$D$370,D252,$G$6:$G$370))</f>
        <v>124 / 306</v>
      </c>
      <c r="N252" s="28" t="str">
        <f>CONCATENATE(SUM($G$6:$G252)," / ",SUM($G$6:$G$370))</f>
        <v>1550,5 / 2244,5</v>
      </c>
      <c r="O252" s="24" t="s">
        <v>489</v>
      </c>
      <c r="P252" s="224">
        <v>0</v>
      </c>
      <c r="Q252" s="28" t="str">
        <f>CONCATENATE(SUMIF($C$6:$C252,C252,$P$6:$P$370)," / ",SUMIF($C$6:$C$370,C252,$P$6:$P$370))</f>
        <v>0 / 0</v>
      </c>
      <c r="R252" s="28" t="str">
        <f>CONCATENATE(SUMIF($D$6:$D252,$D252,$P$6:$P$370)," / ",SUMIF($D$6:$D$370,$D252,$P$6:$P$370))</f>
        <v>0 / 0</v>
      </c>
      <c r="S252" s="28" t="str">
        <f>CONCATENATE(SUM($P$6:$P252)," / ",SUM($P$6:$P$370))</f>
        <v>30850 / 30850</v>
      </c>
      <c r="T252" s="18"/>
      <c r="U252" s="18"/>
      <c r="V252" s="21"/>
    </row>
    <row r="253" spans="1:22" ht="13" thickBot="1">
      <c r="A253" s="18"/>
      <c r="B253" s="238">
        <f t="shared" si="89"/>
        <v>42287</v>
      </c>
      <c r="C253" s="124">
        <f t="shared" si="80"/>
        <v>41</v>
      </c>
      <c r="D253" s="124">
        <f t="shared" si="91"/>
        <v>10</v>
      </c>
      <c r="E253" s="28">
        <v>14</v>
      </c>
      <c r="F253" s="27" t="s">
        <v>575</v>
      </c>
      <c r="G253" s="124"/>
      <c r="H253" s="28" t="str">
        <f>CONCATENATE(SUMIF($C$6:$C253,C253,$E$6:$E$370)," / ",SUMIF($C$6:$C$370,C253,$E$6:$E$370))</f>
        <v>20 / 20</v>
      </c>
      <c r="I253" s="28" t="str">
        <f>CONCATENATE(SUMIF($D$6:$D253,D253,$E$6:$E$370)," / ",SUMIF($D$6:$D$370,D253,$E$6:$E$370))</f>
        <v>20 / 158</v>
      </c>
      <c r="J253" s="28" t="str">
        <f>CONCATENATE(SUM($E$6:$E253)," / ",SUM($E$6:$E$370))</f>
        <v>1587 / 2271</v>
      </c>
      <c r="K253" s="24" t="s">
        <v>478</v>
      </c>
      <c r="L253" s="28" t="str">
        <f>CONCATENATE(SUMIF($C$6:$C253,C253,$G$6:$G$370)," / ",SUMIF($C$6:$C$370,C253,$G$6:$G$370))</f>
        <v>124 / 124</v>
      </c>
      <c r="M253" s="28" t="str">
        <f>CONCATENATE(SUMIF($D$6:$D253,D253,$G$6:$G$370)," / ",SUMIF($D$6:$D$370,D253,$G$6:$G$370))</f>
        <v>124 / 306</v>
      </c>
      <c r="N253" s="28" t="str">
        <f>CONCATENATE(SUM($G$6:$G253)," / ",SUM($G$6:$G$370))</f>
        <v>1550,5 / 2244,5</v>
      </c>
      <c r="O253" s="24"/>
      <c r="P253" s="224">
        <v>0</v>
      </c>
      <c r="Q253" s="28" t="str">
        <f>CONCATENATE(SUMIF($C$6:$C253,C253,$P$6:$P$370)," / ",SUMIF($C$6:$C$370,C253,$P$6:$P$370))</f>
        <v>0 / 0</v>
      </c>
      <c r="R253" s="28" t="str">
        <f>CONCATENATE(SUMIF($D$6:$D253,$D253,$P$6:$P$370)," / ",SUMIF($D$6:$D$370,$D253,$P$6:$P$370))</f>
        <v>0 / 0</v>
      </c>
      <c r="S253" s="28" t="str">
        <f>CONCATENATE(SUM($P$6:$P253)," / ",SUM($P$6:$P$370))</f>
        <v>30850 / 30850</v>
      </c>
      <c r="T253" s="18"/>
      <c r="U253" s="18"/>
      <c r="V253" s="21"/>
    </row>
    <row r="254" spans="1:22" ht="13" thickBot="1">
      <c r="A254" s="18"/>
      <c r="B254" s="238">
        <f t="shared" si="89"/>
        <v>42288</v>
      </c>
      <c r="C254" s="124">
        <f t="shared" si="80"/>
        <v>42</v>
      </c>
      <c r="D254" s="124">
        <f t="shared" si="91"/>
        <v>10</v>
      </c>
      <c r="E254" s="28">
        <v>0</v>
      </c>
      <c r="F254" s="192"/>
      <c r="G254" s="124"/>
      <c r="H254" s="28" t="str">
        <f>CONCATENATE(SUMIF($C$6:$C254,C254,$E$6:$E$370)," / ",SUMIF($C$6:$C$370,C254,$E$6:$E$370))</f>
        <v>0 / 62</v>
      </c>
      <c r="I254" s="28" t="str">
        <f>CONCATENATE(SUMIF($D$6:$D254,D254,$E$6:$E$370)," / ",SUMIF($D$6:$D$370,D254,$E$6:$E$370))</f>
        <v>20 / 158</v>
      </c>
      <c r="J254" s="28" t="str">
        <f>CONCATENATE(SUM($E$6:$E254)," / ",SUM($E$6:$E$370))</f>
        <v>1587 / 2271</v>
      </c>
      <c r="K254" s="24"/>
      <c r="L254" s="28" t="str">
        <f>CONCATENATE(SUMIF($C$6:$C254,C254,$G$6:$G$370)," / ",SUMIF($C$6:$C$370,C254,$G$6:$G$370))</f>
        <v>0 / 87</v>
      </c>
      <c r="M254" s="28" t="str">
        <f>CONCATENATE(SUMIF($D$6:$D254,D254,$G$6:$G$370)," / ",SUMIF($D$6:$D$370,D254,$G$6:$G$370))</f>
        <v>124 / 306</v>
      </c>
      <c r="N254" s="28" t="str">
        <f>CONCATENATE(SUM($G$6:$G254)," / ",SUM($G$6:$G$370))</f>
        <v>1550,5 / 2244,5</v>
      </c>
      <c r="O254" s="24"/>
      <c r="P254" s="224">
        <v>0</v>
      </c>
      <c r="Q254" s="28" t="str">
        <f>CONCATENATE(SUMIF($C$6:$C254,C254,$P$6:$P$370)," / ",SUMIF($C$6:$C$370,C254,$P$6:$P$370))</f>
        <v>0 / 0</v>
      </c>
      <c r="R254" s="28" t="str">
        <f>CONCATENATE(SUMIF($D$6:$D254,$D254,$P$6:$P$370)," / ",SUMIF($D$6:$D$370,$D254,$P$6:$P$370))</f>
        <v>0 / 0</v>
      </c>
      <c r="S254" s="28" t="str">
        <f>CONCATENATE(SUM($P$6:$P254)," / ",SUM($P$6:$P$370))</f>
        <v>30850 / 30850</v>
      </c>
      <c r="T254" s="18"/>
      <c r="U254" s="18"/>
      <c r="V254" s="21"/>
    </row>
    <row r="255" spans="1:22" ht="13" thickBot="1">
      <c r="A255" s="18"/>
      <c r="B255" s="238">
        <f t="shared" si="89"/>
        <v>42289</v>
      </c>
      <c r="C255" s="124">
        <f t="shared" si="80"/>
        <v>42</v>
      </c>
      <c r="D255" s="124">
        <f t="shared" si="91"/>
        <v>10</v>
      </c>
      <c r="E255" s="28">
        <v>10</v>
      </c>
      <c r="F255" s="27" t="s">
        <v>577</v>
      </c>
      <c r="G255" s="124">
        <v>45</v>
      </c>
      <c r="H255" s="28" t="str">
        <f>CONCATENATE(SUMIF($C$6:$C255,C255,$E$6:$E$370)," / ",SUMIF($C$6:$C$370,C255,$E$6:$E$370))</f>
        <v>10 / 62</v>
      </c>
      <c r="I255" s="28" t="str">
        <f>CONCATENATE(SUMIF($D$6:$D255,D255,$E$6:$E$370)," / ",SUMIF($D$6:$D$370,D255,$E$6:$E$370))</f>
        <v>30 / 158</v>
      </c>
      <c r="J255" s="28" t="str">
        <f>CONCATENATE(SUM($E$6:$E255)," / ",SUM($E$6:$E$370))</f>
        <v>1597 / 2271</v>
      </c>
      <c r="K255" s="24" t="s">
        <v>576</v>
      </c>
      <c r="L255" s="28" t="str">
        <f>CONCATENATE(SUMIF($C$6:$C255,C255,$G$6:$G$370)," / ",SUMIF($C$6:$C$370,C255,$G$6:$G$370))</f>
        <v>45 / 87</v>
      </c>
      <c r="M255" s="28" t="str">
        <f>CONCATENATE(SUMIF($D$6:$D255,D255,$G$6:$G$370)," / ",SUMIF($D$6:$D$370,D255,$G$6:$G$370))</f>
        <v>169 / 306</v>
      </c>
      <c r="N255" s="28" t="str">
        <f>CONCATENATE(SUM($G$6:$G255)," / ",SUM($G$6:$G$370))</f>
        <v>1595,5 / 2244,5</v>
      </c>
      <c r="O255" s="24" t="s">
        <v>489</v>
      </c>
      <c r="P255" s="224">
        <v>0</v>
      </c>
      <c r="Q255" s="28" t="str">
        <f>CONCATENATE(SUMIF($C$6:$C255,C255,$P$6:$P$370)," / ",SUMIF($C$6:$C$370,C255,$P$6:$P$370))</f>
        <v>0 / 0</v>
      </c>
      <c r="R255" s="28" t="str">
        <f>CONCATENATE(SUMIF($D$6:$D255,$D255,$P$6:$P$370)," / ",SUMIF($D$6:$D$370,$D255,$P$6:$P$370))</f>
        <v>0 / 0</v>
      </c>
      <c r="S255" s="28" t="str">
        <f>CONCATENATE(SUM($P$6:$P255)," / ",SUM($P$6:$P$370))</f>
        <v>30850 / 30850</v>
      </c>
      <c r="T255" s="18"/>
      <c r="U255" s="18"/>
      <c r="V255" s="21"/>
    </row>
    <row r="256" spans="1:22" ht="13" thickBot="1">
      <c r="A256" s="18"/>
      <c r="B256" s="238">
        <f t="shared" si="89"/>
        <v>42290</v>
      </c>
      <c r="C256" s="124">
        <f t="shared" si="80"/>
        <v>42</v>
      </c>
      <c r="D256" s="124">
        <f t="shared" si="91"/>
        <v>10</v>
      </c>
      <c r="E256" s="28">
        <v>10</v>
      </c>
      <c r="F256" s="27" t="s">
        <v>578</v>
      </c>
      <c r="G256" s="124">
        <v>42</v>
      </c>
      <c r="H256" s="28" t="str">
        <f>CONCATENATE(SUMIF($C$6:$C256,C256,$E$6:$E$370)," / ",SUMIF($C$6:$C$370,C256,$E$6:$E$370))</f>
        <v>20 / 62</v>
      </c>
      <c r="I256" s="28" t="str">
        <f>CONCATENATE(SUMIF($D$6:$D256,D256,$E$6:$E$370)," / ",SUMIF($D$6:$D$370,D256,$E$6:$E$370))</f>
        <v>40 / 158</v>
      </c>
      <c r="J256" s="28" t="str">
        <f>CONCATENATE(SUM($E$6:$E256)," / ",SUM($E$6:$E$370))</f>
        <v>1607 / 2271</v>
      </c>
      <c r="K256" s="24" t="s">
        <v>576</v>
      </c>
      <c r="L256" s="28" t="str">
        <f>CONCATENATE(SUMIF($C$6:$C256,C256,$G$6:$G$370)," / ",SUMIF($C$6:$C$370,C256,$G$6:$G$370))</f>
        <v>87 / 87</v>
      </c>
      <c r="M256" s="28" t="str">
        <f>CONCATENATE(SUMIF($D$6:$D256,D256,$G$6:$G$370)," / ",SUMIF($D$6:$D$370,D256,$G$6:$G$370))</f>
        <v>211 / 306</v>
      </c>
      <c r="N256" s="28" t="str">
        <f>CONCATENATE(SUM($G$6:$G256)," / ",SUM($G$6:$G$370))</f>
        <v>1637,5 / 2244,5</v>
      </c>
      <c r="O256" s="24" t="s">
        <v>489</v>
      </c>
      <c r="P256" s="224">
        <v>0</v>
      </c>
      <c r="Q256" s="28" t="str">
        <f>CONCATENATE(SUMIF($C$6:$C256,C256,$P$6:$P$370)," / ",SUMIF($C$6:$C$370,C256,$P$6:$P$370))</f>
        <v>0 / 0</v>
      </c>
      <c r="R256" s="28" t="str">
        <f>CONCATENATE(SUMIF($D$6:$D256,$D256,$P$6:$P$370)," / ",SUMIF($D$6:$D$370,$D256,$P$6:$P$370))</f>
        <v>0 / 0</v>
      </c>
      <c r="S256" s="28" t="str">
        <f>CONCATENATE(SUM($P$6:$P256)," / ",SUM($P$6:$P$370))</f>
        <v>30850 / 30850</v>
      </c>
      <c r="T256" s="18"/>
      <c r="U256" s="18"/>
      <c r="V256" s="21"/>
    </row>
    <row r="257" spans="1:22" ht="13" thickBot="1">
      <c r="A257" s="18"/>
      <c r="B257" s="238">
        <f t="shared" si="89"/>
        <v>42291</v>
      </c>
      <c r="C257" s="124">
        <f t="shared" si="80"/>
        <v>42</v>
      </c>
      <c r="D257" s="124">
        <f t="shared" si="91"/>
        <v>10</v>
      </c>
      <c r="E257" s="28">
        <v>10</v>
      </c>
      <c r="F257" s="27" t="s">
        <v>579</v>
      </c>
      <c r="G257" s="124"/>
      <c r="H257" s="28" t="str">
        <f>CONCATENATE(SUMIF($C$6:$C257,C257,$E$6:$E$370)," / ",SUMIF($C$6:$C$370,C257,$E$6:$E$370))</f>
        <v>30 / 62</v>
      </c>
      <c r="I257" s="28" t="str">
        <f>CONCATENATE(SUMIF($D$6:$D257,D257,$E$6:$E$370)," / ",SUMIF($D$6:$D$370,D257,$E$6:$E$370))</f>
        <v>50 / 158</v>
      </c>
      <c r="J257" s="28" t="str">
        <f>CONCATENATE(SUM($E$6:$E257)," / ",SUM($E$6:$E$370))</f>
        <v>1617 / 2271</v>
      </c>
      <c r="K257" s="24" t="s">
        <v>576</v>
      </c>
      <c r="L257" s="28" t="str">
        <f>CONCATENATE(SUMIF($C$6:$C257,C257,$G$6:$G$370)," / ",SUMIF($C$6:$C$370,C257,$G$6:$G$370))</f>
        <v>87 / 87</v>
      </c>
      <c r="M257" s="28" t="str">
        <f>CONCATENATE(SUMIF($D$6:$D257,D257,$G$6:$G$370)," / ",SUMIF($D$6:$D$370,D257,$G$6:$G$370))</f>
        <v>211 / 306</v>
      </c>
      <c r="N257" s="28" t="str">
        <f>CONCATENATE(SUM($G$6:$G257)," / ",SUM($G$6:$G$370))</f>
        <v>1637,5 / 2244,5</v>
      </c>
      <c r="O257" s="24"/>
      <c r="P257" s="224">
        <v>0</v>
      </c>
      <c r="Q257" s="28" t="str">
        <f>CONCATENATE(SUMIF($C$6:$C257,C257,$P$6:$P$370)," / ",SUMIF($C$6:$C$370,C257,$P$6:$P$370))</f>
        <v>0 / 0</v>
      </c>
      <c r="R257" s="28" t="str">
        <f>CONCATENATE(SUMIF($D$6:$D257,$D257,$P$6:$P$370)," / ",SUMIF($D$6:$D$370,$D257,$P$6:$P$370))</f>
        <v>0 / 0</v>
      </c>
      <c r="S257" s="28" t="str">
        <f>CONCATENATE(SUM($P$6:$P257)," / ",SUM($P$6:$P$370))</f>
        <v>30850 / 30850</v>
      </c>
      <c r="T257" s="18"/>
      <c r="U257" s="18"/>
      <c r="V257" s="21"/>
    </row>
    <row r="258" spans="1:22" ht="13" thickBot="1">
      <c r="A258" s="18"/>
      <c r="B258" s="238">
        <f t="shared" si="89"/>
        <v>42292</v>
      </c>
      <c r="C258" s="124">
        <f t="shared" si="80"/>
        <v>42</v>
      </c>
      <c r="D258" s="124">
        <f t="shared" si="91"/>
        <v>10</v>
      </c>
      <c r="E258" s="28">
        <v>10</v>
      </c>
      <c r="F258" s="27" t="s">
        <v>579</v>
      </c>
      <c r="G258" s="124"/>
      <c r="H258" s="28" t="str">
        <f>CONCATENATE(SUMIF($C$6:$C258,C258,$E$6:$E$370)," / ",SUMIF($C$6:$C$370,C258,$E$6:$E$370))</f>
        <v>40 / 62</v>
      </c>
      <c r="I258" s="28" t="str">
        <f>CONCATENATE(SUMIF($D$6:$D258,D258,$E$6:$E$370)," / ",SUMIF($D$6:$D$370,D258,$E$6:$E$370))</f>
        <v>60 / 158</v>
      </c>
      <c r="J258" s="28" t="str">
        <f>CONCATENATE(SUM($E$6:$E258)," / ",SUM($E$6:$E$370))</f>
        <v>1627 / 2271</v>
      </c>
      <c r="K258" s="24" t="s">
        <v>576</v>
      </c>
      <c r="L258" s="28" t="str">
        <f>CONCATENATE(SUMIF($C$6:$C258,C258,$G$6:$G$370)," / ",SUMIF($C$6:$C$370,C258,$G$6:$G$370))</f>
        <v>87 / 87</v>
      </c>
      <c r="M258" s="28" t="str">
        <f>CONCATENATE(SUMIF($D$6:$D258,D258,$G$6:$G$370)," / ",SUMIF($D$6:$D$370,D258,$G$6:$G$370))</f>
        <v>211 / 306</v>
      </c>
      <c r="N258" s="28" t="str">
        <f>CONCATENATE(SUM($G$6:$G258)," / ",SUM($G$6:$G$370))</f>
        <v>1637,5 / 2244,5</v>
      </c>
      <c r="O258" s="24"/>
      <c r="P258" s="224">
        <v>0</v>
      </c>
      <c r="Q258" s="28" t="str">
        <f>CONCATENATE(SUMIF($C$6:$C258,C258,$P$6:$P$370)," / ",SUMIF($C$6:$C$370,C258,$P$6:$P$370))</f>
        <v>0 / 0</v>
      </c>
      <c r="R258" s="28" t="str">
        <f>CONCATENATE(SUMIF($D$6:$D258,$D258,$P$6:$P$370)," / ",SUMIF($D$6:$D$370,$D258,$P$6:$P$370))</f>
        <v>0 / 0</v>
      </c>
      <c r="S258" s="28" t="str">
        <f>CONCATENATE(SUM($P$6:$P258)," / ",SUM($P$6:$P$370))</f>
        <v>30850 / 30850</v>
      </c>
      <c r="T258" s="18"/>
      <c r="U258" s="18"/>
      <c r="V258" s="21"/>
    </row>
    <row r="259" spans="1:22" ht="13" thickBot="1">
      <c r="A259" s="18"/>
      <c r="B259" s="238">
        <f t="shared" si="89"/>
        <v>42293</v>
      </c>
      <c r="C259" s="124">
        <f t="shared" si="80"/>
        <v>42</v>
      </c>
      <c r="D259" s="124">
        <f t="shared" si="91"/>
        <v>10</v>
      </c>
      <c r="E259" s="28">
        <v>10</v>
      </c>
      <c r="F259" s="27" t="s">
        <v>580</v>
      </c>
      <c r="G259" s="124"/>
      <c r="H259" s="28" t="str">
        <f>CONCATENATE(SUMIF($C$6:$C259,C259,$E$6:$E$370)," / ",SUMIF($C$6:$C$370,C259,$E$6:$E$370))</f>
        <v>50 / 62</v>
      </c>
      <c r="I259" s="28" t="str">
        <f>CONCATENATE(SUMIF($D$6:$D259,D259,$E$6:$E$370)," / ",SUMIF($D$6:$D$370,D259,$E$6:$E$370))</f>
        <v>70 / 158</v>
      </c>
      <c r="J259" s="28" t="str">
        <f>CONCATENATE(SUM($E$6:$E259)," / ",SUM($E$6:$E$370))</f>
        <v>1637 / 2271</v>
      </c>
      <c r="K259" s="24" t="s">
        <v>576</v>
      </c>
      <c r="L259" s="28" t="str">
        <f>CONCATENATE(SUMIF($C$6:$C259,C259,$G$6:$G$370)," / ",SUMIF($C$6:$C$370,C259,$G$6:$G$370))</f>
        <v>87 / 87</v>
      </c>
      <c r="M259" s="28" t="str">
        <f>CONCATENATE(SUMIF($D$6:$D259,D259,$G$6:$G$370)," / ",SUMIF($D$6:$D$370,D259,$G$6:$G$370))</f>
        <v>211 / 306</v>
      </c>
      <c r="N259" s="28" t="str">
        <f>CONCATENATE(SUM($G$6:$G259)," / ",SUM($G$6:$G$370))</f>
        <v>1637,5 / 2244,5</v>
      </c>
      <c r="O259" s="24"/>
      <c r="P259" s="224">
        <v>0</v>
      </c>
      <c r="Q259" s="28" t="str">
        <f>CONCATENATE(SUMIF($C$6:$C259,C259,$P$6:$P$370)," / ",SUMIF($C$6:$C$370,C259,$P$6:$P$370))</f>
        <v>0 / 0</v>
      </c>
      <c r="R259" s="28" t="str">
        <f>CONCATENATE(SUMIF($D$6:$D259,$D259,$P$6:$P$370)," / ",SUMIF($D$6:$D$370,$D259,$P$6:$P$370))</f>
        <v>0 / 0</v>
      </c>
      <c r="S259" s="28" t="str">
        <f>CONCATENATE(SUM($P$6:$P259)," / ",SUM($P$6:$P$370))</f>
        <v>30850 / 30850</v>
      </c>
      <c r="T259" s="18"/>
      <c r="U259" s="18"/>
      <c r="V259" s="21"/>
    </row>
    <row r="260" spans="1:22" ht="13" thickBot="1">
      <c r="A260" s="18"/>
      <c r="B260" s="238">
        <f t="shared" si="89"/>
        <v>42294</v>
      </c>
      <c r="C260" s="124">
        <f t="shared" si="80"/>
        <v>42</v>
      </c>
      <c r="D260" s="124">
        <f t="shared" si="91"/>
        <v>10</v>
      </c>
      <c r="E260" s="28">
        <v>12</v>
      </c>
      <c r="F260" s="27" t="s">
        <v>561</v>
      </c>
      <c r="G260" s="124"/>
      <c r="H260" s="28" t="str">
        <f>CONCATENATE(SUMIF($C$6:$C260,C260,$E$6:$E$370)," / ",SUMIF($C$6:$C$370,C260,$E$6:$E$370))</f>
        <v>62 / 62</v>
      </c>
      <c r="I260" s="28" t="str">
        <f>CONCATENATE(SUMIF($D$6:$D260,D260,$E$6:$E$370)," / ",SUMIF($D$6:$D$370,D260,$E$6:$E$370))</f>
        <v>82 / 158</v>
      </c>
      <c r="J260" s="28" t="str">
        <f>CONCATENATE(SUM($E$6:$E260)," / ",SUM($E$6:$E$370))</f>
        <v>1649 / 2271</v>
      </c>
      <c r="K260" s="24" t="s">
        <v>478</v>
      </c>
      <c r="L260" s="28" t="str">
        <f>CONCATENATE(SUMIF($C$6:$C260,C260,$G$6:$G$370)," / ",SUMIF($C$6:$C$370,C260,$G$6:$G$370))</f>
        <v>87 / 87</v>
      </c>
      <c r="M260" s="28" t="str">
        <f>CONCATENATE(SUMIF($D$6:$D260,D260,$G$6:$G$370)," / ",SUMIF($D$6:$D$370,D260,$G$6:$G$370))</f>
        <v>211 / 306</v>
      </c>
      <c r="N260" s="28" t="str">
        <f>CONCATENATE(SUM($G$6:$G260)," / ",SUM($G$6:$G$370))</f>
        <v>1637,5 / 2244,5</v>
      </c>
      <c r="O260" s="24"/>
      <c r="P260" s="224">
        <v>0</v>
      </c>
      <c r="Q260" s="28" t="str">
        <f>CONCATENATE(SUMIF($C$6:$C260,C260,$P$6:$P$370)," / ",SUMIF($C$6:$C$370,C260,$P$6:$P$370))</f>
        <v>0 / 0</v>
      </c>
      <c r="R260" s="28" t="str">
        <f>CONCATENATE(SUMIF($D$6:$D260,$D260,$P$6:$P$370)," / ",SUMIF($D$6:$D$370,$D260,$P$6:$P$370))</f>
        <v>0 / 0</v>
      </c>
      <c r="S260" s="28" t="str">
        <f>CONCATENATE(SUM($P$6:$P260)," / ",SUM($P$6:$P$370))</f>
        <v>30850 / 30850</v>
      </c>
      <c r="T260" s="18"/>
      <c r="U260" s="18"/>
      <c r="V260" s="21"/>
    </row>
    <row r="261" spans="1:22" ht="13" thickBot="1">
      <c r="A261" s="18"/>
      <c r="B261" s="238">
        <f t="shared" si="89"/>
        <v>42295</v>
      </c>
      <c r="C261" s="124">
        <f t="shared" si="80"/>
        <v>43</v>
      </c>
      <c r="D261" s="124">
        <f t="shared" si="91"/>
        <v>10</v>
      </c>
      <c r="E261" s="28">
        <v>0</v>
      </c>
      <c r="F261" s="192"/>
      <c r="G261" s="124"/>
      <c r="H261" s="28" t="str">
        <f>CONCATENATE(SUMIF($C$6:$C261,C261,$E$6:$E$370)," / ",SUMIF($C$6:$C$370,C261,$E$6:$E$370))</f>
        <v>0 / 57</v>
      </c>
      <c r="I261" s="28" t="str">
        <f>CONCATENATE(SUMIF($D$6:$D261,D261,$E$6:$E$370)," / ",SUMIF($D$6:$D$370,D261,$E$6:$E$370))</f>
        <v>82 / 158</v>
      </c>
      <c r="J261" s="28" t="str">
        <f>CONCATENATE(SUM($E$6:$E261)," / ",SUM($E$6:$E$370))</f>
        <v>1649 / 2271</v>
      </c>
      <c r="K261" s="24"/>
      <c r="L261" s="28" t="str">
        <f>CONCATENATE(SUMIF($C$6:$C261,C261,$G$6:$G$370)," / ",SUMIF($C$6:$C$370,C261,$G$6:$G$370))</f>
        <v>0 / 30</v>
      </c>
      <c r="M261" s="28" t="str">
        <f>CONCATENATE(SUMIF($D$6:$D261,D261,$G$6:$G$370)," / ",SUMIF($D$6:$D$370,D261,$G$6:$G$370))</f>
        <v>211 / 306</v>
      </c>
      <c r="N261" s="28" t="str">
        <f>CONCATENATE(SUM($G$6:$G261)," / ",SUM($G$6:$G$370))</f>
        <v>1637,5 / 2244,5</v>
      </c>
      <c r="O261" s="24"/>
      <c r="P261" s="224">
        <v>0</v>
      </c>
      <c r="Q261" s="28" t="str">
        <f>CONCATENATE(SUMIF($C$6:$C261,C261,$P$6:$P$370)," / ",SUMIF($C$6:$C$370,C261,$P$6:$P$370))</f>
        <v>0 / 0</v>
      </c>
      <c r="R261" s="28" t="str">
        <f>CONCATENATE(SUMIF($D$6:$D261,$D261,$P$6:$P$370)," / ",SUMIF($D$6:$D$370,$D261,$P$6:$P$370))</f>
        <v>0 / 0</v>
      </c>
      <c r="S261" s="28" t="str">
        <f>CONCATENATE(SUM($P$6:$P261)," / ",SUM($P$6:$P$370))</f>
        <v>30850 / 30850</v>
      </c>
      <c r="T261" s="18"/>
      <c r="U261" s="18"/>
      <c r="V261" s="21"/>
    </row>
    <row r="262" spans="1:22" ht="13" thickBot="1">
      <c r="A262" s="18"/>
      <c r="B262" s="238">
        <f t="shared" si="89"/>
        <v>42296</v>
      </c>
      <c r="C262" s="124">
        <f t="shared" si="80"/>
        <v>43</v>
      </c>
      <c r="D262" s="124">
        <f t="shared" si="91"/>
        <v>10</v>
      </c>
      <c r="E262" s="28">
        <v>10</v>
      </c>
      <c r="F262" s="27" t="s">
        <v>579</v>
      </c>
      <c r="G262" s="124"/>
      <c r="H262" s="28" t="str">
        <f>CONCATENATE(SUMIF($C$6:$C262,C262,$E$6:$E$370)," / ",SUMIF($C$6:$C$370,C262,$E$6:$E$370))</f>
        <v>10 / 57</v>
      </c>
      <c r="I262" s="28" t="str">
        <f>CONCATENATE(SUMIF($D$6:$D262,D262,$E$6:$E$370)," / ",SUMIF($D$6:$D$370,D262,$E$6:$E$370))</f>
        <v>92 / 158</v>
      </c>
      <c r="J262" s="28" t="str">
        <f>CONCATENATE(SUM($E$6:$E262)," / ",SUM($E$6:$E$370))</f>
        <v>1659 / 2271</v>
      </c>
      <c r="K262" s="24" t="s">
        <v>576</v>
      </c>
      <c r="L262" s="28" t="str">
        <f>CONCATENATE(SUMIF($C$6:$C262,C262,$G$6:$G$370)," / ",SUMIF($C$6:$C$370,C262,$G$6:$G$370))</f>
        <v>0 / 30</v>
      </c>
      <c r="M262" s="28" t="str">
        <f>CONCATENATE(SUMIF($D$6:$D262,D262,$G$6:$G$370)," / ",SUMIF($D$6:$D$370,D262,$G$6:$G$370))</f>
        <v>211 / 306</v>
      </c>
      <c r="N262" s="28" t="str">
        <f>CONCATENATE(SUM($G$6:$G262)," / ",SUM($G$6:$G$370))</f>
        <v>1637,5 / 2244,5</v>
      </c>
      <c r="O262" s="24"/>
      <c r="P262" s="224">
        <v>0</v>
      </c>
      <c r="Q262" s="28" t="str">
        <f>CONCATENATE(SUMIF($C$6:$C262,C262,$P$6:$P$370)," / ",SUMIF($C$6:$C$370,C262,$P$6:$P$370))</f>
        <v>0 / 0</v>
      </c>
      <c r="R262" s="28" t="str">
        <f>CONCATENATE(SUMIF($D$6:$D262,$D262,$P$6:$P$370)," / ",SUMIF($D$6:$D$370,$D262,$P$6:$P$370))</f>
        <v>0 / 0</v>
      </c>
      <c r="S262" s="28" t="str">
        <f>CONCATENATE(SUM($P$6:$P262)," / ",SUM($P$6:$P$370))</f>
        <v>30850 / 30850</v>
      </c>
      <c r="T262" s="18"/>
      <c r="U262" s="18"/>
      <c r="V262" s="21"/>
    </row>
    <row r="263" spans="1:22" ht="13" thickBot="1">
      <c r="A263" s="18"/>
      <c r="B263" s="238">
        <f t="shared" si="89"/>
        <v>42297</v>
      </c>
      <c r="C263" s="124">
        <f t="shared" si="80"/>
        <v>43</v>
      </c>
      <c r="D263" s="124">
        <f t="shared" si="91"/>
        <v>10</v>
      </c>
      <c r="E263" s="28">
        <v>16</v>
      </c>
      <c r="F263" s="27" t="s">
        <v>582</v>
      </c>
      <c r="G263" s="124">
        <v>30</v>
      </c>
      <c r="H263" s="28" t="str">
        <f>CONCATENATE(SUMIF($C$6:$C263,C263,$E$6:$E$370)," / ",SUMIF($C$6:$C$370,C263,$E$6:$E$370))</f>
        <v>26 / 57</v>
      </c>
      <c r="I263" s="28" t="str">
        <f>CONCATENATE(SUMIF($D$6:$D263,D263,$E$6:$E$370)," / ",SUMIF($D$6:$D$370,D263,$E$6:$E$370))</f>
        <v>108 / 158</v>
      </c>
      <c r="J263" s="28" t="str">
        <f>CONCATENATE(SUM($E$6:$E263)," / ",SUM($E$6:$E$370))</f>
        <v>1675 / 2271</v>
      </c>
      <c r="K263" s="24" t="s">
        <v>478</v>
      </c>
      <c r="L263" s="28" t="str">
        <f>CONCATENATE(SUMIF($C$6:$C263,C263,$G$6:$G$370)," / ",SUMIF($C$6:$C$370,C263,$G$6:$G$370))</f>
        <v>30 / 30</v>
      </c>
      <c r="M263" s="28" t="str">
        <f>CONCATENATE(SUMIF($D$6:$D263,D263,$G$6:$G$370)," / ",SUMIF($D$6:$D$370,D263,$G$6:$G$370))</f>
        <v>241 / 306</v>
      </c>
      <c r="N263" s="28" t="str">
        <f>CONCATENATE(SUM($G$6:$G263)," / ",SUM($G$6:$G$370))</f>
        <v>1667,5 / 2244,5</v>
      </c>
      <c r="O263" s="24"/>
      <c r="P263" s="224">
        <v>0</v>
      </c>
      <c r="Q263" s="28" t="str">
        <f>CONCATENATE(SUMIF($C$6:$C263,C263,$P$6:$P$370)," / ",SUMIF($C$6:$C$370,C263,$P$6:$P$370))</f>
        <v>0 / 0</v>
      </c>
      <c r="R263" s="28" t="str">
        <f>CONCATENATE(SUMIF($D$6:$D263,$D263,$P$6:$P$370)," / ",SUMIF($D$6:$D$370,$D263,$P$6:$P$370))</f>
        <v>0 / 0</v>
      </c>
      <c r="S263" s="28" t="str">
        <f>CONCATENATE(SUM($P$6:$P263)," / ",SUM($P$6:$P$370))</f>
        <v>30850 / 30850</v>
      </c>
      <c r="T263" s="18"/>
      <c r="U263" s="18"/>
      <c r="V263" s="21"/>
    </row>
    <row r="264" spans="1:22" ht="13" thickBot="1">
      <c r="A264" s="18"/>
      <c r="B264" s="238">
        <f t="shared" si="89"/>
        <v>42298</v>
      </c>
      <c r="C264" s="124">
        <f t="shared" si="80"/>
        <v>43</v>
      </c>
      <c r="D264" s="124">
        <f t="shared" si="91"/>
        <v>10</v>
      </c>
      <c r="E264" s="28">
        <v>17</v>
      </c>
      <c r="F264" s="18" t="s">
        <v>583</v>
      </c>
      <c r="G264" s="124"/>
      <c r="H264" s="28" t="str">
        <f>CONCATENATE(SUMIF($C$6:$C264,C264,$E$6:$E$370)," / ",SUMIF($C$6:$C$370,C264,$E$6:$E$370))</f>
        <v>43 / 57</v>
      </c>
      <c r="I264" s="28" t="str">
        <f>CONCATENATE(SUMIF($D$6:$D264,D264,$E$6:$E$370)," / ",SUMIF($D$6:$D$370,D264,$E$6:$E$370))</f>
        <v>125 / 158</v>
      </c>
      <c r="J264" s="28" t="str">
        <f>CONCATENATE(SUM($E$6:$E264)," / ",SUM($E$6:$E$370))</f>
        <v>1692 / 2271</v>
      </c>
      <c r="K264" s="24" t="s">
        <v>478</v>
      </c>
      <c r="L264" s="28" t="str">
        <f>CONCATENATE(SUMIF($C$6:$C264,C264,$G$6:$G$370)," / ",SUMIF($C$6:$C$370,C264,$G$6:$G$370))</f>
        <v>30 / 30</v>
      </c>
      <c r="M264" s="28" t="str">
        <f>CONCATENATE(SUMIF($D$6:$D264,D264,$G$6:$G$370)," / ",SUMIF($D$6:$D$370,D264,$G$6:$G$370))</f>
        <v>241 / 306</v>
      </c>
      <c r="N264" s="28" t="str">
        <f>CONCATENATE(SUM($G$6:$G264)," / ",SUM($G$6:$G$370))</f>
        <v>1667,5 / 2244,5</v>
      </c>
      <c r="O264" s="24"/>
      <c r="P264" s="224">
        <v>0</v>
      </c>
      <c r="Q264" s="28" t="str">
        <f>CONCATENATE(SUMIF($C$6:$C264,C264,$P$6:$P$370)," / ",SUMIF($C$6:$C$370,C264,$P$6:$P$370))</f>
        <v>0 / 0</v>
      </c>
      <c r="R264" s="28" t="str">
        <f>CONCATENATE(SUMIF($D$6:$D264,$D264,$P$6:$P$370)," / ",SUMIF($D$6:$D$370,$D264,$P$6:$P$370))</f>
        <v>0 / 0</v>
      </c>
      <c r="S264" s="28" t="str">
        <f>CONCATENATE(SUM($P$6:$P264)," / ",SUM($P$6:$P$370))</f>
        <v>30850 / 30850</v>
      </c>
      <c r="T264" s="18"/>
      <c r="U264" s="18"/>
      <c r="V264" s="21"/>
    </row>
    <row r="265" spans="1:22" ht="13" thickBot="1">
      <c r="A265" s="18"/>
      <c r="B265" s="238">
        <f t="shared" si="89"/>
        <v>42299</v>
      </c>
      <c r="C265" s="124">
        <f t="shared" si="80"/>
        <v>43</v>
      </c>
      <c r="D265" s="124">
        <f t="shared" si="91"/>
        <v>10</v>
      </c>
      <c r="E265" s="28">
        <v>0</v>
      </c>
      <c r="F265" s="192"/>
      <c r="G265" s="124"/>
      <c r="H265" s="28" t="str">
        <f>CONCATENATE(SUMIF($C$6:$C265,C265,$E$6:$E$370)," / ",SUMIF($C$6:$C$370,C265,$E$6:$E$370))</f>
        <v>43 / 57</v>
      </c>
      <c r="I265" s="28" t="str">
        <f>CONCATENATE(SUMIF($D$6:$D265,D265,$E$6:$E$370)," / ",SUMIF($D$6:$D$370,D265,$E$6:$E$370))</f>
        <v>125 / 158</v>
      </c>
      <c r="J265" s="28" t="str">
        <f>CONCATENATE(SUM($E$6:$E265)," / ",SUM($E$6:$E$370))</f>
        <v>1692 / 2271</v>
      </c>
      <c r="K265" s="24"/>
      <c r="L265" s="28" t="str">
        <f>CONCATENATE(SUMIF($C$6:$C265,C265,$G$6:$G$370)," / ",SUMIF($C$6:$C$370,C265,$G$6:$G$370))</f>
        <v>30 / 30</v>
      </c>
      <c r="M265" s="28" t="str">
        <f>CONCATENATE(SUMIF($D$6:$D265,D265,$G$6:$G$370)," / ",SUMIF($D$6:$D$370,D265,$G$6:$G$370))</f>
        <v>241 / 306</v>
      </c>
      <c r="N265" s="28" t="str">
        <f>CONCATENATE(SUM($G$6:$G265)," / ",SUM($G$6:$G$370))</f>
        <v>1667,5 / 2244,5</v>
      </c>
      <c r="O265" s="24"/>
      <c r="P265" s="224">
        <v>0</v>
      </c>
      <c r="Q265" s="28" t="str">
        <f>CONCATENATE(SUMIF($C$6:$C265,C265,$P$6:$P$370)," / ",SUMIF($C$6:$C$370,C265,$P$6:$P$370))</f>
        <v>0 / 0</v>
      </c>
      <c r="R265" s="28" t="str">
        <f>CONCATENATE(SUMIF($D$6:$D265,$D265,$P$6:$P$370)," / ",SUMIF($D$6:$D$370,$D265,$P$6:$P$370))</f>
        <v>0 / 0</v>
      </c>
      <c r="S265" s="28" t="str">
        <f>CONCATENATE(SUM($P$6:$P265)," / ",SUM($P$6:$P$370))</f>
        <v>30850 / 30850</v>
      </c>
      <c r="T265" s="18"/>
      <c r="U265" s="18"/>
      <c r="V265" s="21"/>
    </row>
    <row r="266" spans="1:22" ht="13" thickBot="1">
      <c r="A266" s="18"/>
      <c r="B266" s="238">
        <f t="shared" si="89"/>
        <v>42300</v>
      </c>
      <c r="C266" s="124">
        <f t="shared" si="80"/>
        <v>43</v>
      </c>
      <c r="D266" s="124">
        <f t="shared" si="91"/>
        <v>10</v>
      </c>
      <c r="E266" s="28">
        <v>0</v>
      </c>
      <c r="F266" s="192"/>
      <c r="G266" s="124"/>
      <c r="H266" s="28" t="str">
        <f>CONCATENATE(SUMIF($C$6:$C266,C266,$E$6:$E$370)," / ",SUMIF($C$6:$C$370,C266,$E$6:$E$370))</f>
        <v>43 / 57</v>
      </c>
      <c r="I266" s="28" t="str">
        <f>CONCATENATE(SUMIF($D$6:$D266,D266,$E$6:$E$370)," / ",SUMIF($D$6:$D$370,D266,$E$6:$E$370))</f>
        <v>125 / 158</v>
      </c>
      <c r="J266" s="28" t="str">
        <f>CONCATENATE(SUM($E$6:$E266)," / ",SUM($E$6:$E$370))</f>
        <v>1692 / 2271</v>
      </c>
      <c r="K266" s="24"/>
      <c r="L266" s="28" t="str">
        <f>CONCATENATE(SUMIF($C$6:$C266,C266,$G$6:$G$370)," / ",SUMIF($C$6:$C$370,C266,$G$6:$G$370))</f>
        <v>30 / 30</v>
      </c>
      <c r="M266" s="28" t="str">
        <f>CONCATENATE(SUMIF($D$6:$D266,D266,$G$6:$G$370)," / ",SUMIF($D$6:$D$370,D266,$G$6:$G$370))</f>
        <v>241 / 306</v>
      </c>
      <c r="N266" s="28" t="str">
        <f>CONCATENATE(SUM($G$6:$G266)," / ",SUM($G$6:$G$370))</f>
        <v>1667,5 / 2244,5</v>
      </c>
      <c r="O266" s="24"/>
      <c r="P266" s="224">
        <v>0</v>
      </c>
      <c r="Q266" s="28" t="str">
        <f>CONCATENATE(SUMIF($C$6:$C266,C266,$P$6:$P$370)," / ",SUMIF($C$6:$C$370,C266,$P$6:$P$370))</f>
        <v>0 / 0</v>
      </c>
      <c r="R266" s="28" t="str">
        <f>CONCATENATE(SUMIF($D$6:$D266,$D266,$P$6:$P$370)," / ",SUMIF($D$6:$D$370,$D266,$P$6:$P$370))</f>
        <v>0 / 0</v>
      </c>
      <c r="S266" s="28" t="str">
        <f>CONCATENATE(SUM($P$6:$P266)," / ",SUM($P$6:$P$370))</f>
        <v>30850 / 30850</v>
      </c>
      <c r="T266" s="18"/>
      <c r="U266" s="18"/>
      <c r="V266" s="21"/>
    </row>
    <row r="267" spans="1:22" ht="13" thickBot="1">
      <c r="A267" s="18"/>
      <c r="B267" s="238">
        <f t="shared" si="89"/>
        <v>42301</v>
      </c>
      <c r="C267" s="124">
        <f t="shared" si="80"/>
        <v>43</v>
      </c>
      <c r="D267" s="124">
        <f t="shared" si="91"/>
        <v>10</v>
      </c>
      <c r="E267" s="28">
        <v>14</v>
      </c>
      <c r="F267" s="27" t="s">
        <v>585</v>
      </c>
      <c r="G267" s="124"/>
      <c r="H267" s="28" t="str">
        <f>CONCATENATE(SUMIF($C$6:$C267,C267,$E$6:$E$370)," / ",SUMIF($C$6:$C$370,C267,$E$6:$E$370))</f>
        <v>57 / 57</v>
      </c>
      <c r="I267" s="28" t="str">
        <f>CONCATENATE(SUMIF($D$6:$D267,D267,$E$6:$E$370)," / ",SUMIF($D$6:$D$370,D267,$E$6:$E$370))</f>
        <v>139 / 158</v>
      </c>
      <c r="J267" s="28" t="str">
        <f>CONCATENATE(SUM($E$6:$E267)," / ",SUM($E$6:$E$370))</f>
        <v>1706 / 2271</v>
      </c>
      <c r="K267" s="24" t="s">
        <v>478</v>
      </c>
      <c r="L267" s="28" t="str">
        <f>CONCATENATE(SUMIF($C$6:$C267,C267,$G$6:$G$370)," / ",SUMIF($C$6:$C$370,C267,$G$6:$G$370))</f>
        <v>30 / 30</v>
      </c>
      <c r="M267" s="28" t="str">
        <f>CONCATENATE(SUMIF($D$6:$D267,D267,$G$6:$G$370)," / ",SUMIF($D$6:$D$370,D267,$G$6:$G$370))</f>
        <v>241 / 306</v>
      </c>
      <c r="N267" s="28" t="str">
        <f>CONCATENATE(SUM($G$6:$G267)," / ",SUM($G$6:$G$370))</f>
        <v>1667,5 / 2244,5</v>
      </c>
      <c r="O267" s="24"/>
      <c r="P267" s="224">
        <v>0</v>
      </c>
      <c r="Q267" s="28" t="str">
        <f>CONCATENATE(SUMIF($C$6:$C267,C267,$P$6:$P$370)," / ",SUMIF($C$6:$C$370,C267,$P$6:$P$370))</f>
        <v>0 / 0</v>
      </c>
      <c r="R267" s="28" t="str">
        <f>CONCATENATE(SUMIF($D$6:$D267,$D267,$P$6:$P$370)," / ",SUMIF($D$6:$D$370,$D267,$P$6:$P$370))</f>
        <v>0 / 0</v>
      </c>
      <c r="S267" s="28" t="str">
        <f>CONCATENATE(SUM($P$6:$P267)," / ",SUM($P$6:$P$370))</f>
        <v>30850 / 30850</v>
      </c>
      <c r="T267" s="18"/>
      <c r="U267" s="18"/>
      <c r="V267" s="21"/>
    </row>
    <row r="268" spans="1:22" ht="13" thickBot="1">
      <c r="A268" s="18"/>
      <c r="B268" s="238">
        <f t="shared" si="89"/>
        <v>42302</v>
      </c>
      <c r="C268" s="124">
        <f t="shared" si="80"/>
        <v>44</v>
      </c>
      <c r="D268" s="124">
        <f t="shared" si="91"/>
        <v>10</v>
      </c>
      <c r="E268" s="28">
        <v>9</v>
      </c>
      <c r="F268" s="27" t="s">
        <v>584</v>
      </c>
      <c r="G268" s="124"/>
      <c r="H268" s="28" t="str">
        <f>CONCATENATE(SUMIF($C$6:$C268,C268,$E$6:$E$370)," / ",SUMIF($C$6:$C$370,C268,$E$6:$E$370))</f>
        <v>9 / 19</v>
      </c>
      <c r="I268" s="28" t="str">
        <f>CONCATENATE(SUMIF($D$6:$D268,D268,$E$6:$E$370)," / ",SUMIF($D$6:$D$370,D268,$E$6:$E$370))</f>
        <v>148 / 158</v>
      </c>
      <c r="J268" s="28" t="str">
        <f>CONCATENATE(SUM($E$6:$E268)," / ",SUM($E$6:$E$370))</f>
        <v>1715 / 2271</v>
      </c>
      <c r="K268" s="24" t="s">
        <v>478</v>
      </c>
      <c r="L268" s="28" t="str">
        <f>CONCATENATE(SUMIF($C$6:$C268,C268,$G$6:$G$370)," / ",SUMIF($C$6:$C$370,C268,$G$6:$G$370))</f>
        <v>0 / 65</v>
      </c>
      <c r="M268" s="28" t="str">
        <f>CONCATENATE(SUMIF($D$6:$D268,D268,$G$6:$G$370)," / ",SUMIF($D$6:$D$370,D268,$G$6:$G$370))</f>
        <v>241 / 306</v>
      </c>
      <c r="N268" s="28" t="str">
        <f>CONCATENATE(SUM($G$6:$G268)," / ",SUM($G$6:$G$370))</f>
        <v>1667,5 / 2244,5</v>
      </c>
      <c r="O268" s="24"/>
      <c r="P268" s="224">
        <v>0</v>
      </c>
      <c r="Q268" s="28" t="str">
        <f>CONCATENATE(SUMIF($C$6:$C268,C268,$P$6:$P$370)," / ",SUMIF($C$6:$C$370,C268,$P$6:$P$370))</f>
        <v>0 / 0</v>
      </c>
      <c r="R268" s="28" t="str">
        <f>CONCATENATE(SUMIF($D$6:$D268,$D268,$P$6:$P$370)," / ",SUMIF($D$6:$D$370,$D268,$P$6:$P$370))</f>
        <v>0 / 0</v>
      </c>
      <c r="S268" s="28" t="str">
        <f>CONCATENATE(SUM($P$6:$P268)," / ",SUM($P$6:$P$370))</f>
        <v>30850 / 30850</v>
      </c>
      <c r="T268" s="18"/>
      <c r="U268" s="18"/>
      <c r="V268" s="21"/>
    </row>
    <row r="269" spans="1:22" ht="13" thickBot="1">
      <c r="A269" s="18"/>
      <c r="B269" s="238">
        <f t="shared" si="89"/>
        <v>42303</v>
      </c>
      <c r="C269" s="124">
        <f t="shared" si="80"/>
        <v>44</v>
      </c>
      <c r="D269" s="124">
        <f t="shared" si="91"/>
        <v>10</v>
      </c>
      <c r="E269" s="28">
        <v>5</v>
      </c>
      <c r="F269" s="27" t="s">
        <v>586</v>
      </c>
      <c r="G269" s="124">
        <v>35</v>
      </c>
      <c r="H269" s="28" t="str">
        <f>CONCATENATE(SUMIF($C$6:$C269,C269,$E$6:$E$370)," / ",SUMIF($C$6:$C$370,C269,$E$6:$E$370))</f>
        <v>14 / 19</v>
      </c>
      <c r="I269" s="28" t="str">
        <f>CONCATENATE(SUMIF($D$6:$D269,D269,$E$6:$E$370)," / ",SUMIF($D$6:$D$370,D269,$E$6:$E$370))</f>
        <v>153 / 158</v>
      </c>
      <c r="J269" s="28" t="str">
        <f>CONCATENATE(SUM($E$6:$E269)," / ",SUM($E$6:$E$370))</f>
        <v>1720 / 2271</v>
      </c>
      <c r="K269" s="24" t="s">
        <v>576</v>
      </c>
      <c r="L269" s="28" t="str">
        <f>CONCATENATE(SUMIF($C$6:$C269,C269,$G$6:$G$370)," / ",SUMIF($C$6:$C$370,C269,$G$6:$G$370))</f>
        <v>35 / 65</v>
      </c>
      <c r="M269" s="28" t="str">
        <f>CONCATENATE(SUMIF($D$6:$D269,D269,$G$6:$G$370)," / ",SUMIF($D$6:$D$370,D269,$G$6:$G$370))</f>
        <v>276 / 306</v>
      </c>
      <c r="N269" s="28" t="str">
        <f>CONCATENATE(SUM($G$6:$G269)," / ",SUM($G$6:$G$370))</f>
        <v>1702,5 / 2244,5</v>
      </c>
      <c r="O269" s="24" t="s">
        <v>489</v>
      </c>
      <c r="P269" s="224">
        <v>0</v>
      </c>
      <c r="Q269" s="28" t="str">
        <f>CONCATENATE(SUMIF($C$6:$C269,C269,$P$6:$P$370)," / ",SUMIF($C$6:$C$370,C269,$P$6:$P$370))</f>
        <v>0 / 0</v>
      </c>
      <c r="R269" s="28" t="str">
        <f>CONCATENATE(SUMIF($D$6:$D269,$D269,$P$6:$P$370)," / ",SUMIF($D$6:$D$370,$D269,$P$6:$P$370))</f>
        <v>0 / 0</v>
      </c>
      <c r="S269" s="28" t="str">
        <f>CONCATENATE(SUM($P$6:$P269)," / ",SUM($P$6:$P$370))</f>
        <v>30850 / 30850</v>
      </c>
      <c r="T269" s="18"/>
      <c r="U269" s="18"/>
      <c r="V269" s="21"/>
    </row>
    <row r="270" spans="1:22" ht="13" thickBot="1">
      <c r="A270" s="18"/>
      <c r="B270" s="238">
        <f t="shared" si="89"/>
        <v>42304</v>
      </c>
      <c r="C270" s="124">
        <f t="shared" si="80"/>
        <v>44</v>
      </c>
      <c r="D270" s="124">
        <f t="shared" si="91"/>
        <v>10</v>
      </c>
      <c r="E270" s="28">
        <v>5</v>
      </c>
      <c r="F270" s="27" t="s">
        <v>587</v>
      </c>
      <c r="G270" s="124">
        <v>30</v>
      </c>
      <c r="H270" s="28" t="str">
        <f>CONCATENATE(SUMIF($C$6:$C270,C270,$E$6:$E$370)," / ",SUMIF($C$6:$C$370,C270,$E$6:$E$370))</f>
        <v>19 / 19</v>
      </c>
      <c r="I270" s="28" t="str">
        <f>CONCATENATE(SUMIF($D$6:$D270,D270,$E$6:$E$370)," / ",SUMIF($D$6:$D$370,D270,$E$6:$E$370))</f>
        <v>158 / 158</v>
      </c>
      <c r="J270" s="28" t="str">
        <f>CONCATENATE(SUM($E$6:$E270)," / ",SUM($E$6:$E$370))</f>
        <v>1725 / 2271</v>
      </c>
      <c r="K270" s="24" t="s">
        <v>478</v>
      </c>
      <c r="L270" s="28" t="str">
        <f>CONCATENATE(SUMIF($C$6:$C270,C270,$G$6:$G$370)," / ",SUMIF($C$6:$C$370,C270,$G$6:$G$370))</f>
        <v>65 / 65</v>
      </c>
      <c r="M270" s="28" t="str">
        <f>CONCATENATE(SUMIF($D$6:$D270,D270,$G$6:$G$370)," / ",SUMIF($D$6:$D$370,D270,$G$6:$G$370))</f>
        <v>306 / 306</v>
      </c>
      <c r="N270" s="28" t="str">
        <f>CONCATENATE(SUM($G$6:$G270)," / ",SUM($G$6:$G$370))</f>
        <v>1732,5 / 2244,5</v>
      </c>
      <c r="O270" s="24" t="s">
        <v>489</v>
      </c>
      <c r="P270" s="224">
        <v>0</v>
      </c>
      <c r="Q270" s="28" t="str">
        <f>CONCATENATE(SUMIF($C$6:$C270,C270,$P$6:$P$370)," / ",SUMIF($C$6:$C$370,C270,$P$6:$P$370))</f>
        <v>0 / 0</v>
      </c>
      <c r="R270" s="28" t="str">
        <f>CONCATENATE(SUMIF($D$6:$D270,$D270,$P$6:$P$370)," / ",SUMIF($D$6:$D$370,$D270,$P$6:$P$370))</f>
        <v>0 / 0</v>
      </c>
      <c r="S270" s="28" t="str">
        <f>CONCATENATE(SUM($P$6:$P270)," / ",SUM($P$6:$P$370))</f>
        <v>30850 / 30850</v>
      </c>
      <c r="T270" s="18"/>
      <c r="U270" s="18"/>
      <c r="V270" s="21"/>
    </row>
    <row r="271" spans="1:22" ht="13" thickBot="1">
      <c r="A271" s="18"/>
      <c r="B271" s="238">
        <f t="shared" si="89"/>
        <v>42305</v>
      </c>
      <c r="C271" s="124">
        <f t="shared" si="80"/>
        <v>44</v>
      </c>
      <c r="D271" s="124">
        <f t="shared" si="91"/>
        <v>10</v>
      </c>
      <c r="E271" s="28">
        <v>0</v>
      </c>
      <c r="F271" s="192"/>
      <c r="G271" s="124"/>
      <c r="H271" s="28" t="str">
        <f>CONCATENATE(SUMIF($C$6:$C271,C271,$E$6:$E$370)," / ",SUMIF($C$6:$C$370,C271,$E$6:$E$370))</f>
        <v>19 / 19</v>
      </c>
      <c r="I271" s="28" t="str">
        <f>CONCATENATE(SUMIF($D$6:$D271,D271,$E$6:$E$370)," / ",SUMIF($D$6:$D$370,D271,$E$6:$E$370))</f>
        <v>158 / 158</v>
      </c>
      <c r="J271" s="28" t="str">
        <f>CONCATENATE(SUM($E$6:$E271)," / ",SUM($E$6:$E$370))</f>
        <v>1725 / 2271</v>
      </c>
      <c r="K271" s="24"/>
      <c r="L271" s="28" t="str">
        <f>CONCATENATE(SUMIF($C$6:$C271,C271,$G$6:$G$370)," / ",SUMIF($C$6:$C$370,C271,$G$6:$G$370))</f>
        <v>65 / 65</v>
      </c>
      <c r="M271" s="28" t="str">
        <f>CONCATENATE(SUMIF($D$6:$D271,D271,$G$6:$G$370)," / ",SUMIF($D$6:$D$370,D271,$G$6:$G$370))</f>
        <v>306 / 306</v>
      </c>
      <c r="N271" s="28" t="str">
        <f>CONCATENATE(SUM($G$6:$G271)," / ",SUM($G$6:$G$370))</f>
        <v>1732,5 / 2244,5</v>
      </c>
      <c r="O271" s="24"/>
      <c r="P271" s="224">
        <v>0</v>
      </c>
      <c r="Q271" s="28" t="str">
        <f>CONCATENATE(SUMIF($C$6:$C271,C271,$P$6:$P$370)," / ",SUMIF($C$6:$C$370,C271,$P$6:$P$370))</f>
        <v>0 / 0</v>
      </c>
      <c r="R271" s="28" t="str">
        <f>CONCATENATE(SUMIF($D$6:$D271,$D271,$P$6:$P$370)," / ",SUMIF($D$6:$D$370,$D271,$P$6:$P$370))</f>
        <v>0 / 0</v>
      </c>
      <c r="S271" s="28" t="str">
        <f>CONCATENATE(SUM($P$6:$P271)," / ",SUM($P$6:$P$370))</f>
        <v>30850 / 30850</v>
      </c>
      <c r="T271" s="18"/>
      <c r="U271" s="18"/>
      <c r="V271" s="21"/>
    </row>
    <row r="272" spans="1:22" ht="13" thickBot="1">
      <c r="A272" s="18"/>
      <c r="B272" s="238">
        <f t="shared" si="89"/>
        <v>42306</v>
      </c>
      <c r="C272" s="124">
        <f t="shared" si="80"/>
        <v>44</v>
      </c>
      <c r="D272" s="124">
        <f t="shared" si="91"/>
        <v>10</v>
      </c>
      <c r="E272" s="28">
        <v>0</v>
      </c>
      <c r="F272" s="192"/>
      <c r="G272" s="124"/>
      <c r="H272" s="28" t="str">
        <f>CONCATENATE(SUMIF($C$6:$C272,C272,$E$6:$E$370)," / ",SUMIF($C$6:$C$370,C272,$E$6:$E$370))</f>
        <v>19 / 19</v>
      </c>
      <c r="I272" s="28" t="str">
        <f>CONCATENATE(SUMIF($D$6:$D272,D272,$E$6:$E$370)," / ",SUMIF($D$6:$D$370,D272,$E$6:$E$370))</f>
        <v>158 / 158</v>
      </c>
      <c r="J272" s="28" t="str">
        <f>CONCATENATE(SUM($E$6:$E272)," / ",SUM($E$6:$E$370))</f>
        <v>1725 / 2271</v>
      </c>
      <c r="K272" s="24"/>
      <c r="L272" s="28" t="str">
        <f>CONCATENATE(SUMIF($C$6:$C272,C272,$G$6:$G$370)," / ",SUMIF($C$6:$C$370,C272,$G$6:$G$370))</f>
        <v>65 / 65</v>
      </c>
      <c r="M272" s="28" t="str">
        <f>CONCATENATE(SUMIF($D$6:$D272,D272,$G$6:$G$370)," / ",SUMIF($D$6:$D$370,D272,$G$6:$G$370))</f>
        <v>306 / 306</v>
      </c>
      <c r="N272" s="28" t="str">
        <f>CONCATENATE(SUM($G$6:$G272)," / ",SUM($G$6:$G$370))</f>
        <v>1732,5 / 2244,5</v>
      </c>
      <c r="O272" s="24"/>
      <c r="P272" s="224">
        <v>0</v>
      </c>
      <c r="Q272" s="28" t="str">
        <f>CONCATENATE(SUMIF($C$6:$C272,C272,$P$6:$P$370)," / ",SUMIF($C$6:$C$370,C272,$P$6:$P$370))</f>
        <v>0 / 0</v>
      </c>
      <c r="R272" s="28" t="str">
        <f>CONCATENATE(SUMIF($D$6:$D272,$D272,$P$6:$P$370)," / ",SUMIF($D$6:$D$370,$D272,$P$6:$P$370))</f>
        <v>0 / 0</v>
      </c>
      <c r="S272" s="28" t="str">
        <f>CONCATENATE(SUM($P$6:$P272)," / ",SUM($P$6:$P$370))</f>
        <v>30850 / 30850</v>
      </c>
      <c r="T272" s="18"/>
      <c r="U272" s="18"/>
      <c r="V272" s="21"/>
    </row>
    <row r="273" spans="1:22" ht="13" thickBot="1">
      <c r="A273" s="18"/>
      <c r="B273" s="238">
        <f t="shared" si="89"/>
        <v>42307</v>
      </c>
      <c r="C273" s="124">
        <f t="shared" si="80"/>
        <v>44</v>
      </c>
      <c r="D273" s="124">
        <f t="shared" si="91"/>
        <v>10</v>
      </c>
      <c r="E273" s="28">
        <v>0</v>
      </c>
      <c r="F273" s="192"/>
      <c r="G273" s="124"/>
      <c r="H273" s="28" t="str">
        <f>CONCATENATE(SUMIF($C$6:$C273,C273,$E$6:$E$370)," / ",SUMIF($C$6:$C$370,C273,$E$6:$E$370))</f>
        <v>19 / 19</v>
      </c>
      <c r="I273" s="28" t="str">
        <f>CONCATENATE(SUMIF($D$6:$D273,D273,$E$6:$E$370)," / ",SUMIF($D$6:$D$370,D273,$E$6:$E$370))</f>
        <v>158 / 158</v>
      </c>
      <c r="J273" s="28" t="str">
        <f>CONCATENATE(SUM($E$6:$E273)," / ",SUM($E$6:$E$370))</f>
        <v>1725 / 2271</v>
      </c>
      <c r="K273" s="24"/>
      <c r="L273" s="28" t="str">
        <f>CONCATENATE(SUMIF($C$6:$C273,C273,$G$6:$G$370)," / ",SUMIF($C$6:$C$370,C273,$G$6:$G$370))</f>
        <v>65 / 65</v>
      </c>
      <c r="M273" s="28" t="str">
        <f>CONCATENATE(SUMIF($D$6:$D273,D273,$G$6:$G$370)," / ",SUMIF($D$6:$D$370,D273,$G$6:$G$370))</f>
        <v>306 / 306</v>
      </c>
      <c r="N273" s="28" t="str">
        <f>CONCATENATE(SUM($G$6:$G273)," / ",SUM($G$6:$G$370))</f>
        <v>1732,5 / 2244,5</v>
      </c>
      <c r="O273" s="24"/>
      <c r="P273" s="224">
        <v>0</v>
      </c>
      <c r="Q273" s="28" t="str">
        <f>CONCATENATE(SUMIF($C$6:$C273,C273,$P$6:$P$370)," / ",SUMIF($C$6:$C$370,C273,$P$6:$P$370))</f>
        <v>0 / 0</v>
      </c>
      <c r="R273" s="28" t="str">
        <f>CONCATENATE(SUMIF($D$6:$D273,$D273,$P$6:$P$370)," / ",SUMIF($D$6:$D$370,$D273,$P$6:$P$370))</f>
        <v>0 / 0</v>
      </c>
      <c r="S273" s="28" t="str">
        <f>CONCATENATE(SUM($P$6:$P273)," / ",SUM($P$6:$P$370))</f>
        <v>30850 / 30850</v>
      </c>
      <c r="T273" s="18"/>
      <c r="U273" s="18"/>
      <c r="V273" s="21"/>
    </row>
    <row r="274" spans="1:22" ht="13" thickBot="1">
      <c r="A274" s="18"/>
      <c r="B274" s="238">
        <f t="shared" si="89"/>
        <v>42308</v>
      </c>
      <c r="C274" s="212">
        <f t="shared" si="80"/>
        <v>44</v>
      </c>
      <c r="D274" s="212">
        <f t="shared" si="91"/>
        <v>10</v>
      </c>
      <c r="E274" s="212">
        <v>0</v>
      </c>
      <c r="F274" s="213"/>
      <c r="G274" s="225"/>
      <c r="H274" s="212" t="str">
        <f>CONCATENATE(SUMIF($C$6:$C274,C274,$E$6:$E$370)," / ",SUMIF($C$6:$C$370,C274,$E$6:$E$370))</f>
        <v>19 / 19</v>
      </c>
      <c r="I274" s="212" t="str">
        <f>CONCATENATE(SUMIF($D$6:$D274,D274,$E$6:$E$370)," / ",SUMIF($D$6:$D$370,D274,$E$6:$E$370))</f>
        <v>158 / 158</v>
      </c>
      <c r="J274" s="212" t="str">
        <f>CONCATENATE(SUM($E$6:$E274)," / ",SUM($E$6:$E$370))</f>
        <v>1725 / 2271</v>
      </c>
      <c r="K274" s="214"/>
      <c r="L274" s="28" t="str">
        <f>CONCATENATE(SUMIF($C$6:$C274,C274,$G$6:$G$370)," / ",SUMIF($C$6:$C$370,C274,$G$6:$G$370))</f>
        <v>65 / 65</v>
      </c>
      <c r="M274" s="28" t="str">
        <f>CONCATENATE(SUMIF($D$6:$D274,D274,$G$6:$G$370)," / ",SUMIF($D$6:$D$370,D274,$G$6:$G$370))</f>
        <v>306 / 306</v>
      </c>
      <c r="N274" s="28" t="str">
        <f>CONCATENATE(SUM($G$6:$G274)," / ",SUM($G$6:$G$370))</f>
        <v>1732,5 / 2244,5</v>
      </c>
      <c r="O274" s="24"/>
      <c r="P274" s="224">
        <v>0</v>
      </c>
      <c r="Q274" s="28" t="str">
        <f>CONCATENATE(SUMIF($C$6:$C274,C274,$P$6:$P$370)," / ",SUMIF($C$6:$C$370,C274,$P$6:$P$370))</f>
        <v>0 / 0</v>
      </c>
      <c r="R274" s="28" t="str">
        <f>CONCATENATE(SUMIF($D$6:$D274,$D274,$P$6:$P$370)," / ",SUMIF($D$6:$D$370,$D274,$P$6:$P$370))</f>
        <v>0 / 0</v>
      </c>
      <c r="S274" s="28" t="str">
        <f>CONCATENATE(SUM($P$6:$P274)," / ",SUM($P$6:$P$370))</f>
        <v>30850 / 30850</v>
      </c>
      <c r="T274" s="18"/>
      <c r="U274" s="18"/>
      <c r="V274" s="21"/>
    </row>
    <row r="275" spans="1:22" ht="16" thickBot="1">
      <c r="A275" s="18"/>
      <c r="B275" s="239">
        <f t="shared" si="89"/>
        <v>42309</v>
      </c>
      <c r="C275" s="193">
        <f t="shared" si="80"/>
        <v>45</v>
      </c>
      <c r="D275" s="193">
        <f t="shared" si="91"/>
        <v>11</v>
      </c>
      <c r="E275" s="194">
        <v>23</v>
      </c>
      <c r="F275" s="195" t="s">
        <v>581</v>
      </c>
      <c r="G275" s="193">
        <v>15</v>
      </c>
      <c r="H275" s="194" t="str">
        <f>CONCATENATE(SUMIF($C$6:$C275,C275,$E$6:$E$370)," / ",SUMIF($C$6:$C$370,C275,$E$6:$E$370))</f>
        <v>23 / 49</v>
      </c>
      <c r="I275" s="194" t="str">
        <f>CONCATENATE(SUMIF($D$6:$D275,D275,$E$6:$E$370)," / ",SUMIF($D$6:$D$370,D275,$E$6:$E$370))</f>
        <v>23 / 260</v>
      </c>
      <c r="J275" s="194" t="str">
        <f>CONCATENATE(SUM($E$6:$E275)," / ",SUM($E$6:$E$370))</f>
        <v>1748 / 2271</v>
      </c>
      <c r="K275" s="196"/>
      <c r="L275" s="28" t="str">
        <f>CONCATENATE(SUMIF($C$6:$C275,C275,$G$6:$G$370)," / ",SUMIF($C$6:$C$370,C275,$G$6:$G$370))</f>
        <v>15 / 183</v>
      </c>
      <c r="M275" s="28" t="str">
        <f>CONCATENATE(SUMIF($D$6:$D275,D275,$G$6:$G$370)," / ",SUMIF($D$6:$D$370,D275,$G$6:$G$370))</f>
        <v>15 / 294</v>
      </c>
      <c r="N275" s="28" t="str">
        <f>CONCATENATE(SUM($G$6:$G275)," / ",SUM($G$6:$G$370))</f>
        <v>1747,5 / 2244,5</v>
      </c>
      <c r="O275" s="24" t="s">
        <v>489</v>
      </c>
      <c r="P275" s="224">
        <v>0</v>
      </c>
      <c r="Q275" s="28" t="str">
        <f>CONCATENATE(SUMIF($C$6:$C275,C275,$P$6:$P$370)," / ",SUMIF($C$6:$C$370,C275,$P$6:$P$370))</f>
        <v>0 / 0</v>
      </c>
      <c r="R275" s="28" t="str">
        <f>CONCATENATE(SUMIF($D$6:$D275,$D275,$P$6:$P$370)," / ",SUMIF($D$6:$D$370,$D275,$P$6:$P$370))</f>
        <v>0 / 0</v>
      </c>
      <c r="S275" s="28" t="str">
        <f>CONCATENATE(SUM($P$6:$P275)," / ",SUM($P$6:$P$370))</f>
        <v>30850 / 30850</v>
      </c>
      <c r="T275" s="18"/>
      <c r="U275" s="18"/>
      <c r="V275" s="21"/>
    </row>
    <row r="276" spans="1:22" ht="13" thickBot="1">
      <c r="A276" s="18"/>
      <c r="B276" s="238">
        <f t="shared" si="89"/>
        <v>42310</v>
      </c>
      <c r="C276" s="212">
        <f t="shared" si="80"/>
        <v>45</v>
      </c>
      <c r="D276" s="212">
        <f t="shared" si="91"/>
        <v>11</v>
      </c>
      <c r="E276" s="212">
        <v>0</v>
      </c>
      <c r="F276" s="213" t="s">
        <v>589</v>
      </c>
      <c r="G276" s="225">
        <v>25</v>
      </c>
      <c r="H276" s="212" t="str">
        <f>CONCATENATE(SUMIF($C$6:$C276,C276,$E$6:$E$370)," / ",SUMIF($C$6:$C$370,C276,$E$6:$E$370))</f>
        <v>23 / 49</v>
      </c>
      <c r="I276" s="212" t="str">
        <f>CONCATENATE(SUMIF($D$6:$D276,D276,$E$6:$E$370)," / ",SUMIF($D$6:$D$370,D276,$E$6:$E$370))</f>
        <v>23 / 260</v>
      </c>
      <c r="J276" s="212" t="str">
        <f>CONCATENATE(SUM($E$6:$E276)," / ",SUM($E$6:$E$370))</f>
        <v>1748 / 2271</v>
      </c>
      <c r="K276" s="214"/>
      <c r="L276" s="28" t="str">
        <f>CONCATENATE(SUMIF($C$6:$C276,C276,$G$6:$G$370)," / ",SUMIF($C$6:$C$370,C276,$G$6:$G$370))</f>
        <v>40 / 183</v>
      </c>
      <c r="M276" s="28" t="str">
        <f>CONCATENATE(SUMIF($D$6:$D276,D276,$G$6:$G$370)," / ",SUMIF($D$6:$D$370,D276,$G$6:$G$370))</f>
        <v>40 / 294</v>
      </c>
      <c r="N276" s="28" t="str">
        <f>CONCATENATE(SUM($G$6:$G276)," / ",SUM($G$6:$G$370))</f>
        <v>1772,5 / 2244,5</v>
      </c>
      <c r="O276" s="24" t="s">
        <v>489</v>
      </c>
      <c r="P276" s="224">
        <v>0</v>
      </c>
      <c r="Q276" s="28" t="str">
        <f>CONCATENATE(SUMIF($C$6:$C276,C276,$P$6:$P$370)," / ",SUMIF($C$6:$C$370,C276,$P$6:$P$370))</f>
        <v>0 / 0</v>
      </c>
      <c r="R276" s="28" t="str">
        <f>CONCATENATE(SUMIF($D$6:$D276,$D276,$P$6:$P$370)," / ",SUMIF($D$6:$D$370,$D276,$P$6:$P$370))</f>
        <v>0 / 0</v>
      </c>
      <c r="S276" s="28" t="str">
        <f>CONCATENATE(SUM($P$6:$P276)," / ",SUM($P$6:$P$370))</f>
        <v>30850 / 30850</v>
      </c>
      <c r="T276" s="18"/>
      <c r="U276" s="18"/>
      <c r="V276" s="21"/>
    </row>
    <row r="277" spans="1:22" ht="13" thickBot="1">
      <c r="A277" s="18"/>
      <c r="B277" s="238">
        <f t="shared" si="89"/>
        <v>42311</v>
      </c>
      <c r="C277" s="212">
        <f t="shared" si="80"/>
        <v>45</v>
      </c>
      <c r="D277" s="212">
        <f t="shared" si="91"/>
        <v>11</v>
      </c>
      <c r="E277" s="212">
        <v>0</v>
      </c>
      <c r="F277" s="213" t="s">
        <v>590</v>
      </c>
      <c r="G277" s="225">
        <v>25</v>
      </c>
      <c r="H277" s="212" t="str">
        <f>CONCATENATE(SUMIF($C$6:$C277,C277,$E$6:$E$370)," / ",SUMIF($C$6:$C$370,C277,$E$6:$E$370))</f>
        <v>23 / 49</v>
      </c>
      <c r="I277" s="212" t="str">
        <f>CONCATENATE(SUMIF($D$6:$D277,D277,$E$6:$E$370)," / ",SUMIF($D$6:$D$370,D277,$E$6:$E$370))</f>
        <v>23 / 260</v>
      </c>
      <c r="J277" s="212" t="str">
        <f>CONCATENATE(SUM($E$6:$E277)," / ",SUM($E$6:$E$370))</f>
        <v>1748 / 2271</v>
      </c>
      <c r="K277" s="214"/>
      <c r="L277" s="28" t="str">
        <f>CONCATENATE(SUMIF($C$6:$C277,C277,$G$6:$G$370)," / ",SUMIF($C$6:$C$370,C277,$G$6:$G$370))</f>
        <v>65 / 183</v>
      </c>
      <c r="M277" s="28" t="str">
        <f>CONCATENATE(SUMIF($D$6:$D277,D277,$G$6:$G$370)," / ",SUMIF($D$6:$D$370,D277,$G$6:$G$370))</f>
        <v>65 / 294</v>
      </c>
      <c r="N277" s="28" t="str">
        <f>CONCATENATE(SUM($G$6:$G277)," / ",SUM($G$6:$G$370))</f>
        <v>1797,5 / 2244,5</v>
      </c>
      <c r="O277" s="24" t="s">
        <v>489</v>
      </c>
      <c r="P277" s="224">
        <v>0</v>
      </c>
      <c r="Q277" s="28" t="str">
        <f>CONCATENATE(SUMIF($C$6:$C277,C277,$P$6:$P$370)," / ",SUMIF($C$6:$C$370,C277,$P$6:$P$370))</f>
        <v>0 / 0</v>
      </c>
      <c r="R277" s="28" t="str">
        <f>CONCATENATE(SUMIF($D$6:$D277,$D277,$P$6:$P$370)," / ",SUMIF($D$6:$D$370,$D277,$P$6:$P$370))</f>
        <v>0 / 0</v>
      </c>
      <c r="S277" s="28" t="str">
        <f>CONCATENATE(SUM($P$6:$P277)," / ",SUM($P$6:$P$370))</f>
        <v>30850 / 30850</v>
      </c>
      <c r="T277" s="18"/>
      <c r="U277" s="18"/>
      <c r="V277" s="21"/>
    </row>
    <row r="278" spans="1:22" ht="13" thickBot="1">
      <c r="A278" s="18"/>
      <c r="B278" s="238">
        <f t="shared" si="89"/>
        <v>42312</v>
      </c>
      <c r="C278" s="212">
        <f t="shared" si="80"/>
        <v>45</v>
      </c>
      <c r="D278" s="212">
        <f t="shared" si="91"/>
        <v>11</v>
      </c>
      <c r="E278" s="212">
        <v>9</v>
      </c>
      <c r="F278" s="213" t="s">
        <v>591</v>
      </c>
      <c r="G278" s="225">
        <v>36</v>
      </c>
      <c r="H278" s="212" t="str">
        <f>CONCATENATE(SUMIF($C$6:$C278,C278,$E$6:$E$370)," / ",SUMIF($C$6:$C$370,C278,$E$6:$E$370))</f>
        <v>32 / 49</v>
      </c>
      <c r="I278" s="212" t="str">
        <f>CONCATENATE(SUMIF($D$6:$D278,D278,$E$6:$E$370)," / ",SUMIF($D$6:$D$370,D278,$E$6:$E$370))</f>
        <v>32 / 260</v>
      </c>
      <c r="J278" s="212" t="str">
        <f>CONCATENATE(SUM($E$6:$E278)," / ",SUM($E$6:$E$370))</f>
        <v>1757 / 2271</v>
      </c>
      <c r="K278" s="214" t="s">
        <v>478</v>
      </c>
      <c r="L278" s="28" t="str">
        <f>CONCATENATE(SUMIF($C$6:$C278,C278,$G$6:$G$370)," / ",SUMIF($C$6:$C$370,C278,$G$6:$G$370))</f>
        <v>101 / 183</v>
      </c>
      <c r="M278" s="28" t="str">
        <f>CONCATENATE(SUMIF($D$6:$D278,D278,$G$6:$G$370)," / ",SUMIF($D$6:$D$370,D278,$G$6:$G$370))</f>
        <v>101 / 294</v>
      </c>
      <c r="N278" s="28" t="str">
        <f>CONCATENATE(SUM($G$6:$G278)," / ",SUM($G$6:$G$370))</f>
        <v>1833,5 / 2244,5</v>
      </c>
      <c r="O278" s="24" t="s">
        <v>489</v>
      </c>
      <c r="P278" s="224">
        <v>0</v>
      </c>
      <c r="Q278" s="28" t="str">
        <f>CONCATENATE(SUMIF($C$6:$C278,C278,$P$6:$P$370)," / ",SUMIF($C$6:$C$370,C278,$P$6:$P$370))</f>
        <v>0 / 0</v>
      </c>
      <c r="R278" s="28" t="str">
        <f>CONCATENATE(SUMIF($D$6:$D278,$D278,$P$6:$P$370)," / ",SUMIF($D$6:$D$370,$D278,$P$6:$P$370))</f>
        <v>0 / 0</v>
      </c>
      <c r="S278" s="28" t="str">
        <f>CONCATENATE(SUM($P$6:$P278)," / ",SUM($P$6:$P$370))</f>
        <v>30850 / 30850</v>
      </c>
      <c r="T278" s="18"/>
      <c r="U278" s="18"/>
      <c r="V278" s="21"/>
    </row>
    <row r="279" spans="1:22" ht="13" thickBot="1">
      <c r="A279" s="18"/>
      <c r="B279" s="238">
        <f t="shared" si="89"/>
        <v>42313</v>
      </c>
      <c r="C279" s="212">
        <f t="shared" si="80"/>
        <v>45</v>
      </c>
      <c r="D279" s="212">
        <f t="shared" si="91"/>
        <v>11</v>
      </c>
      <c r="E279" s="212">
        <v>0</v>
      </c>
      <c r="F279" s="213" t="s">
        <v>592</v>
      </c>
      <c r="G279" s="225">
        <v>45</v>
      </c>
      <c r="H279" s="212" t="str">
        <f>CONCATENATE(SUMIF($C$6:$C279,C279,$E$6:$E$370)," / ",SUMIF($C$6:$C$370,C279,$E$6:$E$370))</f>
        <v>32 / 49</v>
      </c>
      <c r="I279" s="212" t="str">
        <f>CONCATENATE(SUMIF($D$6:$D279,D279,$E$6:$E$370)," / ",SUMIF($D$6:$D$370,D279,$E$6:$E$370))</f>
        <v>32 / 260</v>
      </c>
      <c r="J279" s="212" t="str">
        <f>CONCATENATE(SUM($E$6:$E279)," / ",SUM($E$6:$E$370))</f>
        <v>1757 / 2271</v>
      </c>
      <c r="K279" s="214"/>
      <c r="L279" s="28" t="str">
        <f>CONCATENATE(SUMIF($C$6:$C279,C279,$G$6:$G$370)," / ",SUMIF($C$6:$C$370,C279,$G$6:$G$370))</f>
        <v>146 / 183</v>
      </c>
      <c r="M279" s="28" t="str">
        <f>CONCATENATE(SUMIF($D$6:$D279,D279,$G$6:$G$370)," / ",SUMIF($D$6:$D$370,D279,$G$6:$G$370))</f>
        <v>146 / 294</v>
      </c>
      <c r="N279" s="28" t="str">
        <f>CONCATENATE(SUM($G$6:$G279)," / ",SUM($G$6:$G$370))</f>
        <v>1878,5 / 2244,5</v>
      </c>
      <c r="O279" s="24" t="s">
        <v>489</v>
      </c>
      <c r="P279" s="224">
        <v>0</v>
      </c>
      <c r="Q279" s="28" t="str">
        <f>CONCATENATE(SUMIF($C$6:$C279,C279,$P$6:$P$370)," / ",SUMIF($C$6:$C$370,C279,$P$6:$P$370))</f>
        <v>0 / 0</v>
      </c>
      <c r="R279" s="28" t="str">
        <f>CONCATENATE(SUMIF($D$6:$D279,$D279,$P$6:$P$370)," / ",SUMIF($D$6:$D$370,$D279,$P$6:$P$370))</f>
        <v>0 / 0</v>
      </c>
      <c r="S279" s="28" t="str">
        <f>CONCATENATE(SUM($P$6:$P279)," / ",SUM($P$6:$P$370))</f>
        <v>30850 / 30850</v>
      </c>
      <c r="T279" s="18"/>
      <c r="U279" s="18"/>
      <c r="V279" s="21"/>
    </row>
    <row r="280" spans="1:22" ht="13" thickBot="1">
      <c r="A280" s="18"/>
      <c r="B280" s="238">
        <f t="shared" si="89"/>
        <v>42314</v>
      </c>
      <c r="C280" s="212">
        <f t="shared" si="80"/>
        <v>45</v>
      </c>
      <c r="D280" s="212">
        <f t="shared" si="91"/>
        <v>11</v>
      </c>
      <c r="E280" s="212"/>
      <c r="F280" s="213"/>
      <c r="G280" s="225">
        <v>12</v>
      </c>
      <c r="H280" s="212" t="str">
        <f>CONCATENATE(SUMIF($C$6:$C280,C280,$E$6:$E$370)," / ",SUMIF($C$6:$C$370,C280,$E$6:$E$370))</f>
        <v>32 / 49</v>
      </c>
      <c r="I280" s="212" t="str">
        <f>CONCATENATE(SUMIF($D$6:$D280,D280,$E$6:$E$370)," / ",SUMIF($D$6:$D$370,D280,$E$6:$E$370))</f>
        <v>32 / 260</v>
      </c>
      <c r="J280" s="212" t="str">
        <f>CONCATENATE(SUM($E$6:$E280)," / ",SUM($E$6:$E$370))</f>
        <v>1757 / 2271</v>
      </c>
      <c r="K280" s="214"/>
      <c r="L280" s="28" t="str">
        <f>CONCATENATE(SUMIF($C$6:$C280,C280,$G$6:$G$370)," / ",SUMIF($C$6:$C$370,C280,$G$6:$G$370))</f>
        <v>158 / 183</v>
      </c>
      <c r="M280" s="28" t="str">
        <f>CONCATENATE(SUMIF($D$6:$D280,D280,$G$6:$G$370)," / ",SUMIF($D$6:$D$370,D280,$G$6:$G$370))</f>
        <v>158 / 294</v>
      </c>
      <c r="N280" s="28" t="str">
        <f>CONCATENATE(SUM($G$6:$G280)," / ",SUM($G$6:$G$370))</f>
        <v>1890,5 / 2244,5</v>
      </c>
      <c r="O280" s="24" t="s">
        <v>489</v>
      </c>
      <c r="P280" s="224">
        <v>0</v>
      </c>
      <c r="Q280" s="28" t="str">
        <f>CONCATENATE(SUMIF($C$6:$C280,C280,$P$6:$P$370)," / ",SUMIF($C$6:$C$370,C280,$P$6:$P$370))</f>
        <v>0 / 0</v>
      </c>
      <c r="R280" s="28" t="str">
        <f>CONCATENATE(SUMIF($D$6:$D280,$D280,$P$6:$P$370)," / ",SUMIF($D$6:$D$370,$D280,$P$6:$P$370))</f>
        <v>0 / 0</v>
      </c>
      <c r="S280" s="28" t="str">
        <f>CONCATENATE(SUM($P$6:$P280)," / ",SUM($P$6:$P$370))</f>
        <v>30850 / 30850</v>
      </c>
      <c r="T280" s="18"/>
      <c r="U280" s="18"/>
      <c r="V280" s="21"/>
    </row>
    <row r="281" spans="1:22" ht="13" thickBot="1">
      <c r="A281" s="18"/>
      <c r="B281" s="238">
        <f t="shared" si="89"/>
        <v>42315</v>
      </c>
      <c r="C281" s="212">
        <f t="shared" si="80"/>
        <v>45</v>
      </c>
      <c r="D281" s="212">
        <f t="shared" si="91"/>
        <v>11</v>
      </c>
      <c r="E281" s="212">
        <v>17</v>
      </c>
      <c r="F281" s="213" t="s">
        <v>593</v>
      </c>
      <c r="G281" s="225">
        <v>25</v>
      </c>
      <c r="H281" s="212" t="str">
        <f>CONCATENATE(SUMIF($C$6:$C281,C281,$E$6:$E$370)," / ",SUMIF($C$6:$C$370,C281,$E$6:$E$370))</f>
        <v>49 / 49</v>
      </c>
      <c r="I281" s="212" t="str">
        <f>CONCATENATE(SUMIF($D$6:$D281,D281,$E$6:$E$370)," / ",SUMIF($D$6:$D$370,D281,$E$6:$E$370))</f>
        <v>49 / 260</v>
      </c>
      <c r="J281" s="212" t="str">
        <f>CONCATENATE(SUM($E$6:$E281)," / ",SUM($E$6:$E$370))</f>
        <v>1774 / 2271</v>
      </c>
      <c r="K281" s="214" t="s">
        <v>381</v>
      </c>
      <c r="L281" s="28" t="str">
        <f>CONCATENATE(SUMIF($C$6:$C281,C281,$G$6:$G$370)," / ",SUMIF($C$6:$C$370,C281,$G$6:$G$370))</f>
        <v>183 / 183</v>
      </c>
      <c r="M281" s="28" t="str">
        <f>CONCATENATE(SUMIF($D$6:$D281,D281,$G$6:$G$370)," / ",SUMIF($D$6:$D$370,D281,$G$6:$G$370))</f>
        <v>183 / 294</v>
      </c>
      <c r="N281" s="28" t="str">
        <f>CONCATENATE(SUM($G$6:$G281)," / ",SUM($G$6:$G$370))</f>
        <v>1915,5 / 2244,5</v>
      </c>
      <c r="O281" s="25" t="s">
        <v>489</v>
      </c>
      <c r="P281" s="224">
        <v>0</v>
      </c>
      <c r="Q281" s="28" t="str">
        <f>CONCATENATE(SUMIF($C$6:$C281,C281,$P$6:$P$370)," / ",SUMIF($C$6:$C$370,C281,$P$6:$P$370))</f>
        <v>0 / 0</v>
      </c>
      <c r="R281" s="28" t="str">
        <f>CONCATENATE(SUMIF($D$6:$D281,$D281,$P$6:$P$370)," / ",SUMIF($D$6:$D$370,$D281,$P$6:$P$370))</f>
        <v>0 / 0</v>
      </c>
      <c r="S281" s="28" t="str">
        <f>CONCATENATE(SUM($P$6:$P281)," / ",SUM($P$6:$P$370))</f>
        <v>30850 / 30850</v>
      </c>
      <c r="T281" s="18"/>
      <c r="U281" s="18"/>
      <c r="V281" s="21"/>
    </row>
    <row r="282" spans="1:22" ht="16" thickBot="1">
      <c r="A282" s="18"/>
      <c r="B282" s="239">
        <f t="shared" si="89"/>
        <v>42316</v>
      </c>
      <c r="C282" s="193">
        <f t="shared" si="80"/>
        <v>46</v>
      </c>
      <c r="D282" s="193">
        <f t="shared" ref="D282" si="92">MONTH(B282)</f>
        <v>11</v>
      </c>
      <c r="E282" s="194">
        <v>14</v>
      </c>
      <c r="F282" s="195" t="s">
        <v>594</v>
      </c>
      <c r="G282" s="193">
        <v>30</v>
      </c>
      <c r="H282" s="194" t="str">
        <f>CONCATENATE(SUMIF($C$6:$C282,C282,$E$6:$E$370)," / ",SUMIF($C$6:$C$370,C282,$E$6:$E$370))</f>
        <v>14 / 51</v>
      </c>
      <c r="I282" s="194" t="str">
        <f>CONCATENATE(SUMIF($D$6:$D282,D282,$E$6:$E$370)," / ",SUMIF($D$6:$D$370,D282,$E$6:$E$370))</f>
        <v>63 / 260</v>
      </c>
      <c r="J282" s="194" t="str">
        <f>CONCATENATE(SUM($E$6:$E282)," / ",SUM($E$6:$E$370))</f>
        <v>1788 / 2271</v>
      </c>
      <c r="K282" s="196" t="s">
        <v>381</v>
      </c>
      <c r="L282" s="28" t="str">
        <f>CONCATENATE(SUMIF($C$6:$C282,C282,$G$6:$G$370)," / ",SUMIF($C$6:$C$370,C282,$G$6:$G$370))</f>
        <v>30 / 85</v>
      </c>
      <c r="M282" s="28" t="str">
        <f>CONCATENATE(SUMIF($D$6:$D282,D282,$G$6:$G$370)," / ",SUMIF($D$6:$D$370,D282,$G$6:$G$370))</f>
        <v>213 / 294</v>
      </c>
      <c r="N282" s="28" t="str">
        <f>CONCATENATE(SUM($G$6:$G282)," / ",SUM($G$6:$G$370))</f>
        <v>1945,5 / 2244,5</v>
      </c>
      <c r="O282" s="24" t="s">
        <v>489</v>
      </c>
      <c r="P282" s="224">
        <v>0</v>
      </c>
      <c r="Q282" s="28" t="str">
        <f>CONCATENATE(SUMIF($C$6:$C282,C282,$P$6:$P$370)," / ",SUMIF($C$6:$C$370,C282,$P$6:$P$370))</f>
        <v>0 / 0</v>
      </c>
      <c r="R282" s="28" t="str">
        <f>CONCATENATE(SUMIF($D$6:$D282,$D282,$P$6:$P$370)," / ",SUMIF($D$6:$D$370,$D282,$P$6:$P$370))</f>
        <v>0 / 0</v>
      </c>
      <c r="S282" s="28" t="str">
        <f>CONCATENATE(SUM($P$6:$P282)," / ",SUM($P$6:$P$370))</f>
        <v>30850 / 30850</v>
      </c>
      <c r="T282" s="18"/>
      <c r="U282" s="18"/>
      <c r="V282" s="21"/>
    </row>
    <row r="283" spans="1:22" ht="13" thickBot="1">
      <c r="A283" s="18"/>
      <c r="B283" s="238">
        <f t="shared" si="89"/>
        <v>42317</v>
      </c>
      <c r="C283" s="212">
        <f t="shared" si="80"/>
        <v>46</v>
      </c>
      <c r="D283" s="212">
        <f t="shared" si="91"/>
        <v>11</v>
      </c>
      <c r="E283" s="212">
        <v>0</v>
      </c>
      <c r="F283" s="213"/>
      <c r="G283" s="225"/>
      <c r="H283" s="212" t="str">
        <f>CONCATENATE(SUMIF($C$6:$C283,C283,$E$6:$E$370)," / ",SUMIF($C$6:$C$370,C283,$E$6:$E$370))</f>
        <v>14 / 51</v>
      </c>
      <c r="I283" s="212" t="str">
        <f>CONCATENATE(SUMIF($D$6:$D283,D283,$E$6:$E$370)," / ",SUMIF($D$6:$D$370,D283,$E$6:$E$370))</f>
        <v>63 / 260</v>
      </c>
      <c r="J283" s="212" t="str">
        <f>CONCATENATE(SUM($E$6:$E283)," / ",SUM($E$6:$E$370))</f>
        <v>1788 / 2271</v>
      </c>
      <c r="K283" s="214"/>
      <c r="L283" s="28" t="str">
        <f>CONCATENATE(SUMIF($C$6:$C283,C283,$G$6:$G$370)," / ",SUMIF($C$6:$C$370,C283,$G$6:$G$370))</f>
        <v>30 / 85</v>
      </c>
      <c r="M283" s="28" t="str">
        <f>CONCATENATE(SUMIF($D$6:$D283,D283,$G$6:$G$370)," / ",SUMIF($D$6:$D$370,D283,$G$6:$G$370))</f>
        <v>213 / 294</v>
      </c>
      <c r="N283" s="28" t="str">
        <f>CONCATENATE(SUM($G$6:$G283)," / ",SUM($G$6:$G$370))</f>
        <v>1945,5 / 2244,5</v>
      </c>
      <c r="O283" s="24"/>
      <c r="P283" s="224">
        <v>0</v>
      </c>
      <c r="Q283" s="28" t="str">
        <f>CONCATENATE(SUMIF($C$6:$C283,C283,$P$6:$P$370)," / ",SUMIF($C$6:$C$370,C283,$P$6:$P$370))</f>
        <v>0 / 0</v>
      </c>
      <c r="R283" s="28" t="str">
        <f>CONCATENATE(SUMIF($D$6:$D283,$D283,$P$6:$P$370)," / ",SUMIF($D$6:$D$370,$D283,$P$6:$P$370))</f>
        <v>0 / 0</v>
      </c>
      <c r="S283" s="28" t="str">
        <f>CONCATENATE(SUM($P$6:$P283)," / ",SUM($P$6:$P$370))</f>
        <v>30850 / 30850</v>
      </c>
      <c r="T283" s="18"/>
      <c r="U283" s="18"/>
      <c r="V283" s="21"/>
    </row>
    <row r="284" spans="1:22" ht="13" thickBot="1">
      <c r="A284" s="18"/>
      <c r="B284" s="238">
        <f t="shared" si="89"/>
        <v>42318</v>
      </c>
      <c r="C284" s="212">
        <f t="shared" si="80"/>
        <v>46</v>
      </c>
      <c r="D284" s="212">
        <f t="shared" si="91"/>
        <v>11</v>
      </c>
      <c r="E284" s="212">
        <v>0</v>
      </c>
      <c r="F284" s="213"/>
      <c r="G284" s="225"/>
      <c r="H284" s="212" t="str">
        <f>CONCATENATE(SUMIF($C$6:$C284,C284,$E$6:$E$370)," / ",SUMIF($C$6:$C$370,C284,$E$6:$E$370))</f>
        <v>14 / 51</v>
      </c>
      <c r="I284" s="212" t="str">
        <f>CONCATENATE(SUMIF($D$6:$D284,D284,$E$6:$E$370)," / ",SUMIF($D$6:$D$370,D284,$E$6:$E$370))</f>
        <v>63 / 260</v>
      </c>
      <c r="J284" s="212" t="str">
        <f>CONCATENATE(SUM($E$6:$E284)," / ",SUM($E$6:$E$370))</f>
        <v>1788 / 2271</v>
      </c>
      <c r="K284" s="214"/>
      <c r="L284" s="28" t="str">
        <f>CONCATENATE(SUMIF($C$6:$C284,C284,$G$6:$G$370)," / ",SUMIF($C$6:$C$370,C284,$G$6:$G$370))</f>
        <v>30 / 85</v>
      </c>
      <c r="M284" s="28" t="str">
        <f>CONCATENATE(SUMIF($D$6:$D284,D284,$G$6:$G$370)," / ",SUMIF($D$6:$D$370,D284,$G$6:$G$370))</f>
        <v>213 / 294</v>
      </c>
      <c r="N284" s="28" t="str">
        <f>CONCATENATE(SUM($G$6:$G284)," / ",SUM($G$6:$G$370))</f>
        <v>1945,5 / 2244,5</v>
      </c>
      <c r="O284" s="24"/>
      <c r="P284" s="224">
        <v>0</v>
      </c>
      <c r="Q284" s="28" t="str">
        <f>CONCATENATE(SUMIF($C$6:$C284,C284,$P$6:$P$370)," / ",SUMIF($C$6:$C$370,C284,$P$6:$P$370))</f>
        <v>0 / 0</v>
      </c>
      <c r="R284" s="28" t="str">
        <f>CONCATENATE(SUMIF($D$6:$D284,$D284,$P$6:$P$370)," / ",SUMIF($D$6:$D$370,$D284,$P$6:$P$370))</f>
        <v>0 / 0</v>
      </c>
      <c r="S284" s="28" t="str">
        <f>CONCATENATE(SUM($P$6:$P284)," / ",SUM($P$6:$P$370))</f>
        <v>30850 / 30850</v>
      </c>
      <c r="T284" s="18"/>
      <c r="U284" s="18"/>
      <c r="V284" s="21"/>
    </row>
    <row r="285" spans="1:22" ht="13" thickBot="1">
      <c r="A285" s="18"/>
      <c r="B285" s="238">
        <f t="shared" si="89"/>
        <v>42319</v>
      </c>
      <c r="C285" s="212">
        <f t="shared" si="80"/>
        <v>46</v>
      </c>
      <c r="D285" s="212">
        <f t="shared" si="91"/>
        <v>11</v>
      </c>
      <c r="E285" s="212">
        <v>11</v>
      </c>
      <c r="F285" s="213" t="s">
        <v>596</v>
      </c>
      <c r="G285" s="225"/>
      <c r="H285" s="212" t="str">
        <f>CONCATENATE(SUMIF($C$6:$C285,C285,$E$6:$E$370)," / ",SUMIF($C$6:$C$370,C285,$E$6:$E$370))</f>
        <v>25 / 51</v>
      </c>
      <c r="I285" s="212" t="str">
        <f>CONCATENATE(SUMIF($D$6:$D285,D285,$E$6:$E$370)," / ",SUMIF($D$6:$D$370,D285,$E$6:$E$370))</f>
        <v>74 / 260</v>
      </c>
      <c r="J285" s="212" t="str">
        <f>CONCATENATE(SUM($E$6:$E285)," / ",SUM($E$6:$E$370))</f>
        <v>1799 / 2271</v>
      </c>
      <c r="K285" s="214" t="s">
        <v>478</v>
      </c>
      <c r="L285" s="28" t="str">
        <f>CONCATENATE(SUMIF($C$6:$C285,C285,$G$6:$G$370)," / ",SUMIF($C$6:$C$370,C285,$G$6:$G$370))</f>
        <v>30 / 85</v>
      </c>
      <c r="M285" s="28" t="str">
        <f>CONCATENATE(SUMIF($D$6:$D285,D285,$G$6:$G$370)," / ",SUMIF($D$6:$D$370,D285,$G$6:$G$370))</f>
        <v>213 / 294</v>
      </c>
      <c r="N285" s="28" t="str">
        <f>CONCATENATE(SUM($G$6:$G285)," / ",SUM($G$6:$G$370))</f>
        <v>1945,5 / 2244,5</v>
      </c>
      <c r="O285" s="24"/>
      <c r="P285" s="224">
        <v>0</v>
      </c>
      <c r="Q285" s="28" t="str">
        <f>CONCATENATE(SUMIF($C$6:$C285,C285,$P$6:$P$370)," / ",SUMIF($C$6:$C$370,C285,$P$6:$P$370))</f>
        <v>0 / 0</v>
      </c>
      <c r="R285" s="28" t="str">
        <f>CONCATENATE(SUMIF($D$6:$D285,$D285,$P$6:$P$370)," / ",SUMIF($D$6:$D$370,$D285,$P$6:$P$370))</f>
        <v>0 / 0</v>
      </c>
      <c r="S285" s="28" t="str">
        <f>CONCATENATE(SUM($P$6:$P285)," / ",SUM($P$6:$P$370))</f>
        <v>30850 / 30850</v>
      </c>
      <c r="T285" s="18"/>
      <c r="U285" s="18"/>
      <c r="V285" s="21"/>
    </row>
    <row r="286" spans="1:22" ht="13" thickBot="1">
      <c r="A286" s="18"/>
      <c r="B286" s="238">
        <f t="shared" si="89"/>
        <v>42320</v>
      </c>
      <c r="C286" s="212">
        <f t="shared" si="80"/>
        <v>46</v>
      </c>
      <c r="D286" s="212">
        <f t="shared" si="91"/>
        <v>11</v>
      </c>
      <c r="E286" s="212">
        <v>5</v>
      </c>
      <c r="F286" s="213" t="s">
        <v>601</v>
      </c>
      <c r="G286" s="225">
        <v>35</v>
      </c>
      <c r="H286" s="212" t="str">
        <f>CONCATENATE(SUMIF($C$6:$C286,C286,$E$6:$E$370)," / ",SUMIF($C$6:$C$370,C286,$E$6:$E$370))</f>
        <v>30 / 51</v>
      </c>
      <c r="I286" s="212" t="str">
        <f>CONCATENATE(SUMIF($D$6:$D286,D286,$E$6:$E$370)," / ",SUMIF($D$6:$D$370,D286,$E$6:$E$370))</f>
        <v>79 / 260</v>
      </c>
      <c r="J286" s="212" t="str">
        <f>CONCATENATE(SUM($E$6:$E286)," / ",SUM($E$6:$E$370))</f>
        <v>1804 / 2271</v>
      </c>
      <c r="K286" s="214" t="s">
        <v>478</v>
      </c>
      <c r="L286" s="28" t="str">
        <f>CONCATENATE(SUMIF($C$6:$C286,C286,$G$6:$G$370)," / ",SUMIF($C$6:$C$370,C286,$G$6:$G$370))</f>
        <v>65 / 85</v>
      </c>
      <c r="M286" s="28" t="str">
        <f>CONCATENATE(SUMIF($D$6:$D286,D286,$G$6:$G$370)," / ",SUMIF($D$6:$D$370,D286,$G$6:$G$370))</f>
        <v>248 / 294</v>
      </c>
      <c r="N286" s="28" t="str">
        <f>CONCATENATE(SUM($G$6:$G286)," / ",SUM($G$6:$G$370))</f>
        <v>1980,5 / 2244,5</v>
      </c>
      <c r="O286" s="24"/>
      <c r="P286" s="224">
        <v>0</v>
      </c>
      <c r="Q286" s="28" t="str">
        <f>CONCATENATE(SUMIF($C$6:$C286,C286,$P$6:$P$370)," / ",SUMIF($C$6:$C$370,C286,$P$6:$P$370))</f>
        <v>0 / 0</v>
      </c>
      <c r="R286" s="28" t="str">
        <f>CONCATENATE(SUMIF($D$6:$D286,$D286,$P$6:$P$370)," / ",SUMIF($D$6:$D$370,$D286,$P$6:$P$370))</f>
        <v>0 / 0</v>
      </c>
      <c r="S286" s="28" t="str">
        <f>CONCATENATE(SUM($P$6:$P286)," / ",SUM($P$6:$P$370))</f>
        <v>30850 / 30850</v>
      </c>
      <c r="T286" s="18"/>
      <c r="U286" s="18"/>
      <c r="V286" s="21"/>
    </row>
    <row r="287" spans="1:22" ht="13" thickBot="1">
      <c r="A287" s="18"/>
      <c r="B287" s="238">
        <f t="shared" si="89"/>
        <v>42321</v>
      </c>
      <c r="C287" s="212">
        <f t="shared" si="80"/>
        <v>46</v>
      </c>
      <c r="D287" s="212">
        <f t="shared" si="91"/>
        <v>11</v>
      </c>
      <c r="E287" s="212">
        <v>0</v>
      </c>
      <c r="F287" s="213"/>
      <c r="G287" s="225"/>
      <c r="H287" s="212" t="str">
        <f>CONCATENATE(SUMIF($C$6:$C287,C287,$E$6:$E$370)," / ",SUMIF($C$6:$C$370,C287,$E$6:$E$370))</f>
        <v>30 / 51</v>
      </c>
      <c r="I287" s="212" t="str">
        <f>CONCATENATE(SUMIF($D$6:$D287,D287,$E$6:$E$370)," / ",SUMIF($D$6:$D$370,D287,$E$6:$E$370))</f>
        <v>79 / 260</v>
      </c>
      <c r="J287" s="212" t="str">
        <f>CONCATENATE(SUM($E$6:$E287)," / ",SUM($E$6:$E$370))</f>
        <v>1804 / 2271</v>
      </c>
      <c r="K287" s="214"/>
      <c r="L287" s="28" t="str">
        <f>CONCATENATE(SUMIF($C$6:$C287,C287,$G$6:$G$370)," / ",SUMIF($C$6:$C$370,C287,$G$6:$G$370))</f>
        <v>65 / 85</v>
      </c>
      <c r="M287" s="28" t="str">
        <f>CONCATENATE(SUMIF($D$6:$D287,D287,$G$6:$G$370)," / ",SUMIF($D$6:$D$370,D287,$G$6:$G$370))</f>
        <v>248 / 294</v>
      </c>
      <c r="N287" s="28" t="str">
        <f>CONCATENATE(SUM($G$6:$G287)," / ",SUM($G$6:$G$370))</f>
        <v>1980,5 / 2244,5</v>
      </c>
      <c r="O287" s="24"/>
      <c r="P287" s="224">
        <v>0</v>
      </c>
      <c r="Q287" s="28" t="str">
        <f>CONCATENATE(SUMIF($C$6:$C287,C287,$P$6:$P$370)," / ",SUMIF($C$6:$C$370,C287,$P$6:$P$370))</f>
        <v>0 / 0</v>
      </c>
      <c r="R287" s="28" t="str">
        <f>CONCATENATE(SUMIF($D$6:$D287,$D287,$P$6:$P$370)," / ",SUMIF($D$6:$D$370,$D287,$P$6:$P$370))</f>
        <v>0 / 0</v>
      </c>
      <c r="S287" s="28" t="str">
        <f>CONCATENATE(SUM($P$6:$P287)," / ",SUM($P$6:$P$370))</f>
        <v>30850 / 30850</v>
      </c>
      <c r="T287" s="18"/>
      <c r="U287" s="18"/>
      <c r="V287" s="21"/>
    </row>
    <row r="288" spans="1:22" ht="16" thickBot="1">
      <c r="A288" s="18"/>
      <c r="B288" s="239">
        <f t="shared" si="89"/>
        <v>42322</v>
      </c>
      <c r="C288" s="193">
        <f t="shared" si="80"/>
        <v>46</v>
      </c>
      <c r="D288" s="193">
        <f t="shared" si="91"/>
        <v>11</v>
      </c>
      <c r="E288" s="194">
        <v>21</v>
      </c>
      <c r="F288" s="195" t="s">
        <v>588</v>
      </c>
      <c r="G288" s="193">
        <v>20</v>
      </c>
      <c r="H288" s="194" t="str">
        <f>CONCATENATE(SUMIF($C$6:$C288,C288,$E$6:$E$370)," / ",SUMIF($C$6:$C$370,C288,$E$6:$E$370))</f>
        <v>51 / 51</v>
      </c>
      <c r="I288" s="194" t="str">
        <f>CONCATENATE(SUMIF($D$6:$D288,D288,$E$6:$E$370)," / ",SUMIF($D$6:$D$370,D288,$E$6:$E$370))</f>
        <v>100 / 260</v>
      </c>
      <c r="J288" s="194" t="str">
        <f>CONCATENATE(SUM($E$6:$E288)," / ",SUM($E$6:$E$370))</f>
        <v>1825 / 2271</v>
      </c>
      <c r="K288" s="196" t="s">
        <v>576</v>
      </c>
      <c r="L288" s="28" t="str">
        <f>CONCATENATE(SUMIF($C$6:$C288,C288,$G$6:$G$370)," / ",SUMIF($C$6:$C$370,C288,$G$6:$G$370))</f>
        <v>85 / 85</v>
      </c>
      <c r="M288" s="28" t="str">
        <f>CONCATENATE(SUMIF($D$6:$D288,D288,$G$6:$G$370)," / ",SUMIF($D$6:$D$370,D288,$G$6:$G$370))</f>
        <v>268 / 294</v>
      </c>
      <c r="N288" s="28" t="str">
        <f>CONCATENATE(SUM($G$6:$G288)," / ",SUM($G$6:$G$370))</f>
        <v>2000,5 / 2244,5</v>
      </c>
      <c r="O288" s="24" t="s">
        <v>489</v>
      </c>
      <c r="P288" s="224">
        <v>0</v>
      </c>
      <c r="Q288" s="28" t="str">
        <f>CONCATENATE(SUMIF($C$6:$C288,C288,$P$6:$P$370)," / ",SUMIF($C$6:$C$370,C288,$P$6:$P$370))</f>
        <v>0 / 0</v>
      </c>
      <c r="R288" s="28" t="str">
        <f>CONCATENATE(SUMIF($D$6:$D288,$D288,$P$6:$P$370)," / ",SUMIF($D$6:$D$370,$D288,$P$6:$P$370))</f>
        <v>0 / 0</v>
      </c>
      <c r="S288" s="28" t="str">
        <f>CONCATENATE(SUM($P$6:$P288)," / ",SUM($P$6:$P$370))</f>
        <v>30850 / 30850</v>
      </c>
      <c r="T288" s="18"/>
      <c r="U288" s="18"/>
      <c r="V288" s="21"/>
    </row>
    <row r="289" spans="1:22" ht="13" thickBot="1">
      <c r="A289" s="18"/>
      <c r="B289" s="238">
        <f t="shared" si="89"/>
        <v>42323</v>
      </c>
      <c r="C289" s="212">
        <f t="shared" si="80"/>
        <v>47</v>
      </c>
      <c r="D289" s="212">
        <f t="shared" si="91"/>
        <v>11</v>
      </c>
      <c r="E289" s="212">
        <v>0</v>
      </c>
      <c r="F289" s="213"/>
      <c r="G289" s="225"/>
      <c r="H289" s="212" t="str">
        <f>CONCATENATE(SUMIF($C$6:$C289,C289,$E$6:$E$370)," / ",SUMIF($C$6:$C$370,C289,$E$6:$E$370))</f>
        <v>0 / 53</v>
      </c>
      <c r="I289" s="212" t="str">
        <f>CONCATENATE(SUMIF($D$6:$D289,D289,$E$6:$E$370)," / ",SUMIF($D$6:$D$370,D289,$E$6:$E$370))</f>
        <v>100 / 260</v>
      </c>
      <c r="J289" s="212" t="str">
        <f>CONCATENATE(SUM($E$6:$E289)," / ",SUM($E$6:$E$370))</f>
        <v>1825 / 2271</v>
      </c>
      <c r="K289" s="214"/>
      <c r="L289" s="28" t="str">
        <f>CONCATENATE(SUMIF($C$6:$C289,C289,$G$6:$G$370)," / ",SUMIF($C$6:$C$370,C289,$G$6:$G$370))</f>
        <v>0 / 0</v>
      </c>
      <c r="M289" s="28" t="str">
        <f>CONCATENATE(SUMIF($D$6:$D289,D289,$G$6:$G$370)," / ",SUMIF($D$6:$D$370,D289,$G$6:$G$370))</f>
        <v>268 / 294</v>
      </c>
      <c r="N289" s="28" t="str">
        <f>CONCATENATE(SUM($G$6:$G289)," / ",SUM($G$6:$G$370))</f>
        <v>2000,5 / 2244,5</v>
      </c>
      <c r="O289" s="24"/>
      <c r="P289" s="224">
        <v>0</v>
      </c>
      <c r="Q289" s="28" t="str">
        <f>CONCATENATE(SUMIF($C$6:$C289,C289,$P$6:$P$370)," / ",SUMIF($C$6:$C$370,C289,$P$6:$P$370))</f>
        <v>0 / 0</v>
      </c>
      <c r="R289" s="28" t="str">
        <f>CONCATENATE(SUMIF($D$6:$D289,$D289,$P$6:$P$370)," / ",SUMIF($D$6:$D$370,$D289,$P$6:$P$370))</f>
        <v>0 / 0</v>
      </c>
      <c r="S289" s="28" t="str">
        <f>CONCATENATE(SUM($P$6:$P289)," / ",SUM($P$6:$P$370))</f>
        <v>30850 / 30850</v>
      </c>
      <c r="T289" s="18"/>
      <c r="U289" s="18"/>
      <c r="V289" s="21"/>
    </row>
    <row r="290" spans="1:22" ht="13" thickBot="1">
      <c r="A290" s="18"/>
      <c r="B290" s="238">
        <f t="shared" si="89"/>
        <v>42324</v>
      </c>
      <c r="C290" s="212">
        <f t="shared" si="80"/>
        <v>47</v>
      </c>
      <c r="D290" s="212">
        <f t="shared" si="91"/>
        <v>11</v>
      </c>
      <c r="E290" s="212">
        <v>14</v>
      </c>
      <c r="F290" s="213" t="s">
        <v>602</v>
      </c>
      <c r="G290" s="225"/>
      <c r="H290" s="212" t="str">
        <f>CONCATENATE(SUMIF($C$6:$C290,C290,$E$6:$E$370)," / ",SUMIF($C$6:$C$370,C290,$E$6:$E$370))</f>
        <v>14 / 53</v>
      </c>
      <c r="I290" s="212" t="str">
        <f>CONCATENATE(SUMIF($D$6:$D290,D290,$E$6:$E$370)," / ",SUMIF($D$6:$D$370,D290,$E$6:$E$370))</f>
        <v>114 / 260</v>
      </c>
      <c r="J290" s="212" t="str">
        <f>CONCATENATE(SUM($E$6:$E290)," / ",SUM($E$6:$E$370))</f>
        <v>1839 / 2271</v>
      </c>
      <c r="K290" s="214" t="s">
        <v>576</v>
      </c>
      <c r="L290" s="28" t="str">
        <f>CONCATENATE(SUMIF($C$6:$C290,C290,$G$6:$G$370)," / ",SUMIF($C$6:$C$370,C290,$G$6:$G$370))</f>
        <v>0 / 0</v>
      </c>
      <c r="M290" s="28" t="str">
        <f>CONCATENATE(SUMIF($D$6:$D290,D290,$G$6:$G$370)," / ",SUMIF($D$6:$D$370,D290,$G$6:$G$370))</f>
        <v>268 / 294</v>
      </c>
      <c r="N290" s="28" t="str">
        <f>CONCATENATE(SUM($G$6:$G290)," / ",SUM($G$6:$G$370))</f>
        <v>2000,5 / 2244,5</v>
      </c>
      <c r="O290" s="24"/>
      <c r="P290" s="224">
        <v>0</v>
      </c>
      <c r="Q290" s="28" t="str">
        <f>CONCATENATE(SUMIF($C$6:$C290,C290,$P$6:$P$370)," / ",SUMIF($C$6:$C$370,C290,$P$6:$P$370))</f>
        <v>0 / 0</v>
      </c>
      <c r="R290" s="28" t="str">
        <f>CONCATENATE(SUMIF($D$6:$D290,$D290,$P$6:$P$370)," / ",SUMIF($D$6:$D$370,$D290,$P$6:$P$370))</f>
        <v>0 / 0</v>
      </c>
      <c r="S290" s="28" t="str">
        <f>CONCATENATE(SUM($P$6:$P290)," / ",SUM($P$6:$P$370))</f>
        <v>30850 / 30850</v>
      </c>
      <c r="T290" s="18"/>
      <c r="U290" s="18"/>
      <c r="V290" s="21"/>
    </row>
    <row r="291" spans="1:22" ht="13" thickBot="1">
      <c r="A291" s="18"/>
      <c r="B291" s="238">
        <f t="shared" si="89"/>
        <v>42325</v>
      </c>
      <c r="C291" s="212">
        <f t="shared" si="80"/>
        <v>47</v>
      </c>
      <c r="D291" s="212">
        <f t="shared" si="91"/>
        <v>11</v>
      </c>
      <c r="E291" s="212">
        <v>8</v>
      </c>
      <c r="F291" s="213" t="s">
        <v>603</v>
      </c>
      <c r="G291" s="225"/>
      <c r="H291" s="212" t="str">
        <f>CONCATENATE(SUMIF($C$6:$C291,C291,$E$6:$E$370)," / ",SUMIF($C$6:$C$370,C291,$E$6:$E$370))</f>
        <v>22 / 53</v>
      </c>
      <c r="I291" s="212" t="str">
        <f>CONCATENATE(SUMIF($D$6:$D291,D291,$E$6:$E$370)," / ",SUMIF($D$6:$D$370,D291,$E$6:$E$370))</f>
        <v>122 / 260</v>
      </c>
      <c r="J291" s="212" t="str">
        <f>CONCATENATE(SUM($E$6:$E291)," / ",SUM($E$6:$E$370))</f>
        <v>1847 / 2271</v>
      </c>
      <c r="K291" s="214" t="s">
        <v>478</v>
      </c>
      <c r="L291" s="28" t="str">
        <f>CONCATENATE(SUMIF($C$6:$C291,C291,$G$6:$G$370)," / ",SUMIF($C$6:$C$370,C291,$G$6:$G$370))</f>
        <v>0 / 0</v>
      </c>
      <c r="M291" s="28" t="str">
        <f>CONCATENATE(SUMIF($D$6:$D291,D291,$G$6:$G$370)," / ",SUMIF($D$6:$D$370,D291,$G$6:$G$370))</f>
        <v>268 / 294</v>
      </c>
      <c r="N291" s="28" t="str">
        <f>CONCATENATE(SUM($G$6:$G291)," / ",SUM($G$6:$G$370))</f>
        <v>2000,5 / 2244,5</v>
      </c>
      <c r="O291" s="24"/>
      <c r="P291" s="224">
        <v>0</v>
      </c>
      <c r="Q291" s="28" t="str">
        <f>CONCATENATE(SUMIF($C$6:$C291,C291,$P$6:$P$370)," / ",SUMIF($C$6:$C$370,C291,$P$6:$P$370))</f>
        <v>0 / 0</v>
      </c>
      <c r="R291" s="28" t="str">
        <f>CONCATENATE(SUMIF($D$6:$D291,$D291,$P$6:$P$370)," / ",SUMIF($D$6:$D$370,$D291,$P$6:$P$370))</f>
        <v>0 / 0</v>
      </c>
      <c r="S291" s="28" t="str">
        <f>CONCATENATE(SUM($P$6:$P291)," / ",SUM($P$6:$P$370))</f>
        <v>30850 / 30850</v>
      </c>
      <c r="T291" s="18"/>
      <c r="U291" s="18"/>
      <c r="V291" s="21"/>
    </row>
    <row r="292" spans="1:22" ht="13" thickBot="1">
      <c r="A292" s="18"/>
      <c r="B292" s="238">
        <f t="shared" si="89"/>
        <v>42326</v>
      </c>
      <c r="C292" s="212">
        <f t="shared" si="80"/>
        <v>47</v>
      </c>
      <c r="D292" s="212">
        <f t="shared" si="91"/>
        <v>11</v>
      </c>
      <c r="E292" s="212">
        <v>0</v>
      </c>
      <c r="F292" s="213"/>
      <c r="G292" s="225"/>
      <c r="H292" s="212" t="str">
        <f>CONCATENATE(SUMIF($C$6:$C292,C292,$E$6:$E$370)," / ",SUMIF($C$6:$C$370,C292,$E$6:$E$370))</f>
        <v>22 / 53</v>
      </c>
      <c r="I292" s="212" t="str">
        <f>CONCATENATE(SUMIF($D$6:$D292,D292,$E$6:$E$370)," / ",SUMIF($D$6:$D$370,D292,$E$6:$E$370))</f>
        <v>122 / 260</v>
      </c>
      <c r="J292" s="212" t="str">
        <f>CONCATENATE(SUM($E$6:$E292)," / ",SUM($E$6:$E$370))</f>
        <v>1847 / 2271</v>
      </c>
      <c r="K292" s="214"/>
      <c r="L292" s="28" t="str">
        <f>CONCATENATE(SUMIF($C$6:$C292,C292,$G$6:$G$370)," / ",SUMIF($C$6:$C$370,C292,$G$6:$G$370))</f>
        <v>0 / 0</v>
      </c>
      <c r="M292" s="28" t="str">
        <f>CONCATENATE(SUMIF($D$6:$D292,D292,$G$6:$G$370)," / ",SUMIF($D$6:$D$370,D292,$G$6:$G$370))</f>
        <v>268 / 294</v>
      </c>
      <c r="N292" s="28" t="str">
        <f>CONCATENATE(SUM($G$6:$G292)," / ",SUM($G$6:$G$370))</f>
        <v>2000,5 / 2244,5</v>
      </c>
      <c r="O292" s="24"/>
      <c r="P292" s="224">
        <v>0</v>
      </c>
      <c r="Q292" s="28" t="str">
        <f>CONCATENATE(SUMIF($C$6:$C292,C292,$P$6:$P$370)," / ",SUMIF($C$6:$C$370,C292,$P$6:$P$370))</f>
        <v>0 / 0</v>
      </c>
      <c r="R292" s="28" t="str">
        <f>CONCATENATE(SUMIF($D$6:$D292,$D292,$P$6:$P$370)," / ",SUMIF($D$6:$D$370,$D292,$P$6:$P$370))</f>
        <v>0 / 0</v>
      </c>
      <c r="S292" s="28" t="str">
        <f>CONCATENATE(SUM($P$6:$P292)," / ",SUM($P$6:$P$370))</f>
        <v>30850 / 30850</v>
      </c>
      <c r="T292" s="18"/>
      <c r="U292" s="18"/>
      <c r="V292" s="21"/>
    </row>
    <row r="293" spans="1:22" ht="13" thickBot="1">
      <c r="A293" s="18"/>
      <c r="B293" s="238">
        <f t="shared" si="89"/>
        <v>42327</v>
      </c>
      <c r="C293" s="212">
        <f t="shared" si="80"/>
        <v>47</v>
      </c>
      <c r="D293" s="212">
        <f t="shared" si="91"/>
        <v>11</v>
      </c>
      <c r="E293" s="212">
        <v>11</v>
      </c>
      <c r="F293" s="213" t="s">
        <v>603</v>
      </c>
      <c r="G293" s="225"/>
      <c r="H293" s="212" t="str">
        <f>CONCATENATE(SUMIF($C$6:$C293,C293,$E$6:$E$370)," / ",SUMIF($C$6:$C$370,C293,$E$6:$E$370))</f>
        <v>33 / 53</v>
      </c>
      <c r="I293" s="212" t="str">
        <f>CONCATENATE(SUMIF($D$6:$D293,D293,$E$6:$E$370)," / ",SUMIF($D$6:$D$370,D293,$E$6:$E$370))</f>
        <v>133 / 260</v>
      </c>
      <c r="J293" s="212" t="str">
        <f>CONCATENATE(SUM($E$6:$E293)," / ",SUM($E$6:$E$370))</f>
        <v>1858 / 2271</v>
      </c>
      <c r="K293" s="214" t="s">
        <v>478</v>
      </c>
      <c r="L293" s="28" t="str">
        <f>CONCATENATE(SUMIF($C$6:$C293,C293,$G$6:$G$370)," / ",SUMIF($C$6:$C$370,C293,$G$6:$G$370))</f>
        <v>0 / 0</v>
      </c>
      <c r="M293" s="28" t="str">
        <f>CONCATENATE(SUMIF($D$6:$D293,D293,$G$6:$G$370)," / ",SUMIF($D$6:$D$370,D293,$G$6:$G$370))</f>
        <v>268 / 294</v>
      </c>
      <c r="N293" s="28" t="str">
        <f>CONCATENATE(SUM($G$6:$G293)," / ",SUM($G$6:$G$370))</f>
        <v>2000,5 / 2244,5</v>
      </c>
      <c r="O293" s="24"/>
      <c r="P293" s="224">
        <v>0</v>
      </c>
      <c r="Q293" s="28" t="str">
        <f>CONCATENATE(SUMIF($C$6:$C293,C293,$P$6:$P$370)," / ",SUMIF($C$6:$C$370,C293,$P$6:$P$370))</f>
        <v>0 / 0</v>
      </c>
      <c r="R293" s="28" t="str">
        <f>CONCATENATE(SUMIF($D$6:$D293,$D293,$P$6:$P$370)," / ",SUMIF($D$6:$D$370,$D293,$P$6:$P$370))</f>
        <v>0 / 0</v>
      </c>
      <c r="S293" s="28" t="str">
        <f>CONCATENATE(SUM($P$6:$P293)," / ",SUM($P$6:$P$370))</f>
        <v>30850 / 30850</v>
      </c>
      <c r="T293" s="18"/>
      <c r="U293" s="18"/>
      <c r="V293" s="21"/>
    </row>
    <row r="294" spans="1:22" ht="13" thickBot="1">
      <c r="A294" s="18"/>
      <c r="B294" s="238">
        <f t="shared" si="89"/>
        <v>42328</v>
      </c>
      <c r="C294" s="212">
        <f t="shared" ref="C294:C335" si="93">WEEKNUM($B294)</f>
        <v>47</v>
      </c>
      <c r="D294" s="212">
        <f t="shared" si="91"/>
        <v>11</v>
      </c>
      <c r="E294" s="212">
        <v>0</v>
      </c>
      <c r="F294" s="213"/>
      <c r="G294" s="225"/>
      <c r="H294" s="212" t="str">
        <f>CONCATENATE(SUMIF($C$6:$C294,C294,$E$6:$E$370)," / ",SUMIF($C$6:$C$370,C294,$E$6:$E$370))</f>
        <v>33 / 53</v>
      </c>
      <c r="I294" s="212" t="str">
        <f>CONCATENATE(SUMIF($D$6:$D294,D294,$E$6:$E$370)," / ",SUMIF($D$6:$D$370,D294,$E$6:$E$370))</f>
        <v>133 / 260</v>
      </c>
      <c r="J294" s="212" t="str">
        <f>CONCATENATE(SUM($E$6:$E294)," / ",SUM($E$6:$E$370))</f>
        <v>1858 / 2271</v>
      </c>
      <c r="K294" s="214"/>
      <c r="L294" s="28" t="str">
        <f>CONCATENATE(SUMIF($C$6:$C294,C294,$G$6:$G$370)," / ",SUMIF($C$6:$C$370,C294,$G$6:$G$370))</f>
        <v>0 / 0</v>
      </c>
      <c r="M294" s="28" t="str">
        <f>CONCATENATE(SUMIF($D$6:$D294,D294,$G$6:$G$370)," / ",SUMIF($D$6:$D$370,D294,$G$6:$G$370))</f>
        <v>268 / 294</v>
      </c>
      <c r="N294" s="28" t="str">
        <f>CONCATENATE(SUM($G$6:$G294)," / ",SUM($G$6:$G$370))</f>
        <v>2000,5 / 2244,5</v>
      </c>
      <c r="O294" s="24"/>
      <c r="P294" s="224">
        <v>0</v>
      </c>
      <c r="Q294" s="28" t="str">
        <f>CONCATENATE(SUMIF($C$6:$C294,C294,$P$6:$P$370)," / ",SUMIF($C$6:$C$370,C294,$P$6:$P$370))</f>
        <v>0 / 0</v>
      </c>
      <c r="R294" s="28" t="str">
        <f>CONCATENATE(SUMIF($D$6:$D294,$D294,$P$6:$P$370)," / ",SUMIF($D$6:$D$370,$D294,$P$6:$P$370))</f>
        <v>0 / 0</v>
      </c>
      <c r="S294" s="28" t="str">
        <f>CONCATENATE(SUM($P$6:$P294)," / ",SUM($P$6:$P$370))</f>
        <v>30850 / 30850</v>
      </c>
      <c r="T294" s="18"/>
      <c r="U294" s="18"/>
      <c r="V294" s="21"/>
    </row>
    <row r="295" spans="1:22" ht="13" thickBot="1">
      <c r="A295" s="18"/>
      <c r="B295" s="238">
        <f t="shared" si="89"/>
        <v>42329</v>
      </c>
      <c r="C295" s="212">
        <f t="shared" si="93"/>
        <v>47</v>
      </c>
      <c r="D295" s="212">
        <f t="shared" si="91"/>
        <v>11</v>
      </c>
      <c r="E295" s="212">
        <v>20</v>
      </c>
      <c r="F295" s="213" t="s">
        <v>604</v>
      </c>
      <c r="G295" s="225"/>
      <c r="H295" s="212" t="str">
        <f>CONCATENATE(SUMIF($C$6:$C295,C295,$E$6:$E$370)," / ",SUMIF($C$6:$C$370,C295,$E$6:$E$370))</f>
        <v>53 / 53</v>
      </c>
      <c r="I295" s="212" t="str">
        <f>CONCATENATE(SUMIF($D$6:$D295,D295,$E$6:$E$370)," / ",SUMIF($D$6:$D$370,D295,$E$6:$E$370))</f>
        <v>153 / 260</v>
      </c>
      <c r="J295" s="212" t="str">
        <f>CONCATENATE(SUM($E$6:$E295)," / ",SUM($E$6:$E$370))</f>
        <v>1878 / 2271</v>
      </c>
      <c r="K295" s="214" t="s">
        <v>478</v>
      </c>
      <c r="L295" s="28" t="str">
        <f>CONCATENATE(SUMIF($C$6:$C295,C295,$G$6:$G$370)," / ",SUMIF($C$6:$C$370,C295,$G$6:$G$370))</f>
        <v>0 / 0</v>
      </c>
      <c r="M295" s="28" t="str">
        <f>CONCATENATE(SUMIF($D$6:$D295,D295,$G$6:$G$370)," / ",SUMIF($D$6:$D$370,D295,$G$6:$G$370))</f>
        <v>268 / 294</v>
      </c>
      <c r="N295" s="28" t="str">
        <f>CONCATENATE(SUM($G$6:$G295)," / ",SUM($G$6:$G$370))</f>
        <v>2000,5 / 2244,5</v>
      </c>
      <c r="O295" s="24"/>
      <c r="P295" s="224">
        <v>0</v>
      </c>
      <c r="Q295" s="28" t="str">
        <f>CONCATENATE(SUMIF($C$6:$C295,C295,$P$6:$P$370)," / ",SUMIF($C$6:$C$370,C295,$P$6:$P$370))</f>
        <v>0 / 0</v>
      </c>
      <c r="R295" s="28" t="str">
        <f>CONCATENATE(SUMIF($D$6:$D295,$D295,$P$6:$P$370)," / ",SUMIF($D$6:$D$370,$D295,$P$6:$P$370))</f>
        <v>0 / 0</v>
      </c>
      <c r="S295" s="28" t="str">
        <f>CONCATENATE(SUM($P$6:$P295)," / ",SUM($P$6:$P$370))</f>
        <v>30850 / 30850</v>
      </c>
      <c r="T295" s="18"/>
      <c r="U295" s="18"/>
      <c r="V295" s="21"/>
    </row>
    <row r="296" spans="1:22" ht="13" thickBot="1">
      <c r="A296" s="18"/>
      <c r="B296" s="238">
        <f t="shared" si="89"/>
        <v>42330</v>
      </c>
      <c r="C296" s="212">
        <f t="shared" si="93"/>
        <v>48</v>
      </c>
      <c r="D296" s="212">
        <f t="shared" si="91"/>
        <v>11</v>
      </c>
      <c r="E296" s="212">
        <v>16</v>
      </c>
      <c r="F296" s="213" t="s">
        <v>611</v>
      </c>
      <c r="G296" s="225"/>
      <c r="H296" s="212" t="str">
        <f>CONCATENATE(SUMIF($C$6:$C296,C296,$E$6:$E$370)," / ",SUMIF($C$6:$C$370,C296,$E$6:$E$370))</f>
        <v>16 / 96</v>
      </c>
      <c r="I296" s="212" t="str">
        <f>CONCATENATE(SUMIF($D$6:$D296,D296,$E$6:$E$370)," / ",SUMIF($D$6:$D$370,D296,$E$6:$E$370))</f>
        <v>169 / 260</v>
      </c>
      <c r="J296" s="212" t="str">
        <f>CONCATENATE(SUM($E$6:$E296)," / ",SUM($E$6:$E$370))</f>
        <v>1894 / 2271</v>
      </c>
      <c r="K296" s="214" t="s">
        <v>478</v>
      </c>
      <c r="L296" s="28" t="str">
        <f>CONCATENATE(SUMIF($C$6:$C296,C296,$G$6:$G$370)," / ",SUMIF($C$6:$C$370,C296,$G$6:$G$370))</f>
        <v>0 / 26</v>
      </c>
      <c r="M296" s="28" t="str">
        <f>CONCATENATE(SUMIF($D$6:$D296,D296,$G$6:$G$370)," / ",SUMIF($D$6:$D$370,D296,$G$6:$G$370))</f>
        <v>268 / 294</v>
      </c>
      <c r="N296" s="28" t="str">
        <f>CONCATENATE(SUM($G$6:$G296)," / ",SUM($G$6:$G$370))</f>
        <v>2000,5 / 2244,5</v>
      </c>
      <c r="O296" s="24"/>
      <c r="P296" s="224">
        <v>0</v>
      </c>
      <c r="Q296" s="28" t="str">
        <f>CONCATENATE(SUMIF($C$6:$C296,C296,$P$6:$P$370)," / ",SUMIF($C$6:$C$370,C296,$P$6:$P$370))</f>
        <v>0 / 0</v>
      </c>
      <c r="R296" s="28" t="str">
        <f>CONCATENATE(SUMIF($D$6:$D296,$D296,$P$6:$P$370)," / ",SUMIF($D$6:$D$370,$D296,$P$6:$P$370))</f>
        <v>0 / 0</v>
      </c>
      <c r="S296" s="28" t="str">
        <f>CONCATENATE(SUM($P$6:$P296)," / ",SUM($P$6:$P$370))</f>
        <v>30850 / 30850</v>
      </c>
      <c r="T296" s="18"/>
      <c r="U296" s="18"/>
      <c r="V296" s="21"/>
    </row>
    <row r="297" spans="1:22" ht="13" thickBot="1">
      <c r="A297" s="18"/>
      <c r="B297" s="238">
        <f t="shared" si="89"/>
        <v>42331</v>
      </c>
      <c r="C297" s="212">
        <f t="shared" si="93"/>
        <v>48</v>
      </c>
      <c r="D297" s="212">
        <f t="shared" si="91"/>
        <v>11</v>
      </c>
      <c r="E297" s="212">
        <v>8</v>
      </c>
      <c r="F297" s="213" t="s">
        <v>613</v>
      </c>
      <c r="G297" s="225">
        <v>26</v>
      </c>
      <c r="H297" s="212" t="str">
        <f>CONCATENATE(SUMIF($C$6:$C297,C297,$E$6:$E$370)," / ",SUMIF($C$6:$C$370,C297,$E$6:$E$370))</f>
        <v>24 / 96</v>
      </c>
      <c r="I297" s="212" t="str">
        <f>CONCATENATE(SUMIF($D$6:$D297,D297,$E$6:$E$370)," / ",SUMIF($D$6:$D$370,D297,$E$6:$E$370))</f>
        <v>177 / 260</v>
      </c>
      <c r="J297" s="212" t="str">
        <f>CONCATENATE(SUM($E$6:$E297)," / ",SUM($E$6:$E$370))</f>
        <v>1902 / 2271</v>
      </c>
      <c r="K297" s="214" t="s">
        <v>576</v>
      </c>
      <c r="L297" s="28" t="str">
        <f>CONCATENATE(SUMIF($C$6:$C297,C297,$G$6:$G$370)," / ",SUMIF($C$6:$C$370,C297,$G$6:$G$370))</f>
        <v>26 / 26</v>
      </c>
      <c r="M297" s="28" t="str">
        <f>CONCATENATE(SUMIF($D$6:$D297,D297,$G$6:$G$370)," / ",SUMIF($D$6:$D$370,D297,$G$6:$G$370))</f>
        <v>294 / 294</v>
      </c>
      <c r="N297" s="28" t="str">
        <f>CONCATENATE(SUM($G$6:$G297)," / ",SUM($G$6:$G$370))</f>
        <v>2026,5 / 2244,5</v>
      </c>
      <c r="O297" s="24" t="s">
        <v>487</v>
      </c>
      <c r="P297" s="224">
        <v>0</v>
      </c>
      <c r="Q297" s="28" t="str">
        <f>CONCATENATE(SUMIF($C$6:$C297,C297,$P$6:$P$370)," / ",SUMIF($C$6:$C$370,C297,$P$6:$P$370))</f>
        <v>0 / 0</v>
      </c>
      <c r="R297" s="28" t="str">
        <f>CONCATENATE(SUMIF($D$6:$D297,$D297,$P$6:$P$370)," / ",SUMIF($D$6:$D$370,$D297,$P$6:$P$370))</f>
        <v>0 / 0</v>
      </c>
      <c r="S297" s="28" t="str">
        <f>CONCATENATE(SUM($P$6:$P297)," / ",SUM($P$6:$P$370))</f>
        <v>30850 / 30850</v>
      </c>
      <c r="T297" s="18"/>
      <c r="U297" s="18"/>
      <c r="V297" s="21"/>
    </row>
    <row r="298" spans="1:22" ht="13" thickBot="1">
      <c r="A298" s="18"/>
      <c r="B298" s="238">
        <f t="shared" si="89"/>
        <v>42332</v>
      </c>
      <c r="C298" s="212">
        <f t="shared" si="93"/>
        <v>48</v>
      </c>
      <c r="D298" s="212">
        <f t="shared" si="91"/>
        <v>11</v>
      </c>
      <c r="E298" s="212">
        <v>11</v>
      </c>
      <c r="F298" s="213" t="s">
        <v>614</v>
      </c>
      <c r="G298" s="225"/>
      <c r="H298" s="212" t="str">
        <f>CONCATENATE(SUMIF($C$6:$C298,C298,$E$6:$E$370)," / ",SUMIF($C$6:$C$370,C298,$E$6:$E$370))</f>
        <v>35 / 96</v>
      </c>
      <c r="I298" s="212" t="str">
        <f>CONCATENATE(SUMIF($D$6:$D298,D298,$E$6:$E$370)," / ",SUMIF($D$6:$D$370,D298,$E$6:$E$370))</f>
        <v>188 / 260</v>
      </c>
      <c r="J298" s="212" t="str">
        <f>CONCATENATE(SUM($E$6:$E298)," / ",SUM($E$6:$E$370))</f>
        <v>1913 / 2271</v>
      </c>
      <c r="K298" s="214" t="s">
        <v>576</v>
      </c>
      <c r="L298" s="28" t="str">
        <f>CONCATENATE(SUMIF($C$6:$C298,C298,$G$6:$G$370)," / ",SUMIF($C$6:$C$370,C298,$G$6:$G$370))</f>
        <v>26 / 26</v>
      </c>
      <c r="M298" s="28" t="str">
        <f>CONCATENATE(SUMIF($D$6:$D298,D298,$G$6:$G$370)," / ",SUMIF($D$6:$D$370,D298,$G$6:$G$370))</f>
        <v>294 / 294</v>
      </c>
      <c r="N298" s="28" t="str">
        <f>CONCATENATE(SUM($G$6:$G298)," / ",SUM($G$6:$G$370))</f>
        <v>2026,5 / 2244,5</v>
      </c>
      <c r="O298" s="24"/>
      <c r="P298" s="224">
        <v>0</v>
      </c>
      <c r="Q298" s="28" t="str">
        <f>CONCATENATE(SUMIF($C$6:$C298,C298,$P$6:$P$370)," / ",SUMIF($C$6:$C$370,C298,$P$6:$P$370))</f>
        <v>0 / 0</v>
      </c>
      <c r="R298" s="28" t="str">
        <f>CONCATENATE(SUMIF($D$6:$D298,$D298,$P$6:$P$370)," / ",SUMIF($D$6:$D$370,$D298,$P$6:$P$370))</f>
        <v>0 / 0</v>
      </c>
      <c r="S298" s="28" t="str">
        <f>CONCATENATE(SUM($P$6:$P298)," / ",SUM($P$6:$P$370))</f>
        <v>30850 / 30850</v>
      </c>
      <c r="T298" s="18"/>
      <c r="U298" s="18"/>
      <c r="V298" s="21"/>
    </row>
    <row r="299" spans="1:22" ht="13" thickBot="1">
      <c r="A299" s="18"/>
      <c r="B299" s="238">
        <f t="shared" si="89"/>
        <v>42333</v>
      </c>
      <c r="C299" s="212">
        <f t="shared" si="93"/>
        <v>48</v>
      </c>
      <c r="D299" s="212">
        <f t="shared" si="91"/>
        <v>11</v>
      </c>
      <c r="E299" s="212">
        <v>12</v>
      </c>
      <c r="F299" s="213" t="s">
        <v>615</v>
      </c>
      <c r="G299" s="225"/>
      <c r="H299" s="212" t="str">
        <f>CONCATENATE(SUMIF($C$6:$C299,C299,$E$6:$E$370)," / ",SUMIF($C$6:$C$370,C299,$E$6:$E$370))</f>
        <v>47 / 96</v>
      </c>
      <c r="I299" s="212" t="str">
        <f>CONCATENATE(SUMIF($D$6:$D299,D299,$E$6:$E$370)," / ",SUMIF($D$6:$D$370,D299,$E$6:$E$370))</f>
        <v>200 / 260</v>
      </c>
      <c r="J299" s="212" t="str">
        <f>CONCATENATE(SUM($E$6:$E299)," / ",SUM($E$6:$E$370))</f>
        <v>1925 / 2271</v>
      </c>
      <c r="K299" s="214" t="s">
        <v>576</v>
      </c>
      <c r="L299" s="28" t="str">
        <f>CONCATENATE(SUMIF($C$6:$C299,C299,$G$6:$G$370)," / ",SUMIF($C$6:$C$370,C299,$G$6:$G$370))</f>
        <v>26 / 26</v>
      </c>
      <c r="M299" s="28" t="str">
        <f>CONCATENATE(SUMIF($D$6:$D299,D299,$G$6:$G$370)," / ",SUMIF($D$6:$D$370,D299,$G$6:$G$370))</f>
        <v>294 / 294</v>
      </c>
      <c r="N299" s="28" t="str">
        <f>CONCATENATE(SUM($G$6:$G299)," / ",SUM($G$6:$G$370))</f>
        <v>2026,5 / 2244,5</v>
      </c>
      <c r="O299" s="24"/>
      <c r="P299" s="224">
        <v>0</v>
      </c>
      <c r="Q299" s="28" t="str">
        <f>CONCATENATE(SUMIF($C$6:$C299,C299,$P$6:$P$370)," / ",SUMIF($C$6:$C$370,C299,$P$6:$P$370))</f>
        <v>0 / 0</v>
      </c>
      <c r="R299" s="28" t="str">
        <f>CONCATENATE(SUMIF($D$6:$D299,$D299,$P$6:$P$370)," / ",SUMIF($D$6:$D$370,$D299,$P$6:$P$370))</f>
        <v>0 / 0</v>
      </c>
      <c r="S299" s="28" t="str">
        <f>CONCATENATE(SUM($P$6:$P299)," / ",SUM($P$6:$P$370))</f>
        <v>30850 / 30850</v>
      </c>
      <c r="T299" s="18"/>
      <c r="U299" s="18"/>
      <c r="V299" s="21"/>
    </row>
    <row r="300" spans="1:22" ht="13" thickBot="1">
      <c r="A300" s="18"/>
      <c r="B300" s="238">
        <f t="shared" si="89"/>
        <v>42334</v>
      </c>
      <c r="C300" s="212">
        <f t="shared" si="93"/>
        <v>48</v>
      </c>
      <c r="D300" s="212">
        <f t="shared" si="91"/>
        <v>11</v>
      </c>
      <c r="E300" s="212">
        <v>12</v>
      </c>
      <c r="F300" s="213" t="s">
        <v>615</v>
      </c>
      <c r="G300" s="225"/>
      <c r="H300" s="212" t="str">
        <f>CONCATENATE(SUMIF($C$6:$C300,C300,$E$6:$E$370)," / ",SUMIF($C$6:$C$370,C300,$E$6:$E$370))</f>
        <v>59 / 96</v>
      </c>
      <c r="I300" s="212" t="str">
        <f>CONCATENATE(SUMIF($D$6:$D300,D300,$E$6:$E$370)," / ",SUMIF($D$6:$D$370,D300,$E$6:$E$370))</f>
        <v>212 / 260</v>
      </c>
      <c r="J300" s="212" t="str">
        <f>CONCATENATE(SUM($E$6:$E300)," / ",SUM($E$6:$E$370))</f>
        <v>1937 / 2271</v>
      </c>
      <c r="K300" s="214" t="s">
        <v>576</v>
      </c>
      <c r="L300" s="28" t="str">
        <f>CONCATENATE(SUMIF($C$6:$C300,C300,$G$6:$G$370)," / ",SUMIF($C$6:$C$370,C300,$G$6:$G$370))</f>
        <v>26 / 26</v>
      </c>
      <c r="M300" s="28" t="str">
        <f>CONCATENATE(SUMIF($D$6:$D300,D300,$G$6:$G$370)," / ",SUMIF($D$6:$D$370,D300,$G$6:$G$370))</f>
        <v>294 / 294</v>
      </c>
      <c r="N300" s="28" t="str">
        <f>CONCATENATE(SUM($G$6:$G300)," / ",SUM($G$6:$G$370))</f>
        <v>2026,5 / 2244,5</v>
      </c>
      <c r="O300" s="24"/>
      <c r="P300" s="224">
        <v>0</v>
      </c>
      <c r="Q300" s="28" t="str">
        <f>CONCATENATE(SUMIF($C$6:$C300,C300,$P$6:$P$370)," / ",SUMIF($C$6:$C$370,C300,$P$6:$P$370))</f>
        <v>0 / 0</v>
      </c>
      <c r="R300" s="28" t="str">
        <f>CONCATENATE(SUMIF($D$6:$D300,$D300,$P$6:$P$370)," / ",SUMIF($D$6:$D$370,$D300,$P$6:$P$370))</f>
        <v>0 / 0</v>
      </c>
      <c r="S300" s="28" t="str">
        <f>CONCATENATE(SUM($P$6:$P300)," / ",SUM($P$6:$P$370))</f>
        <v>30850 / 30850</v>
      </c>
      <c r="T300" s="18"/>
      <c r="U300" s="18"/>
      <c r="V300" s="21"/>
    </row>
    <row r="301" spans="1:22" ht="13" thickBot="1">
      <c r="A301" s="18"/>
      <c r="B301" s="238">
        <f t="shared" si="89"/>
        <v>42335</v>
      </c>
      <c r="C301" s="212">
        <f t="shared" si="93"/>
        <v>48</v>
      </c>
      <c r="D301" s="212">
        <f t="shared" si="91"/>
        <v>11</v>
      </c>
      <c r="E301" s="212">
        <v>15</v>
      </c>
      <c r="F301" s="213" t="s">
        <v>616</v>
      </c>
      <c r="G301" s="225"/>
      <c r="H301" s="212" t="str">
        <f>CONCATENATE(SUMIF($C$6:$C301,C301,$E$6:$E$370)," / ",SUMIF($C$6:$C$370,C301,$E$6:$E$370))</f>
        <v>74 / 96</v>
      </c>
      <c r="I301" s="212" t="str">
        <f>CONCATENATE(SUMIF($D$6:$D301,D301,$E$6:$E$370)," / ",SUMIF($D$6:$D$370,D301,$E$6:$E$370))</f>
        <v>227 / 260</v>
      </c>
      <c r="J301" s="212" t="str">
        <f>CONCATENATE(SUM($E$6:$E301)," / ",SUM($E$6:$E$370))</f>
        <v>1952 / 2271</v>
      </c>
      <c r="K301" s="214" t="s">
        <v>576</v>
      </c>
      <c r="L301" s="28" t="str">
        <f>CONCATENATE(SUMIF($C$6:$C301,C301,$G$6:$G$370)," / ",SUMIF($C$6:$C$370,C301,$G$6:$G$370))</f>
        <v>26 / 26</v>
      </c>
      <c r="M301" s="28" t="str">
        <f>CONCATENATE(SUMIF($D$6:$D301,D301,$G$6:$G$370)," / ",SUMIF($D$6:$D$370,D301,$G$6:$G$370))</f>
        <v>294 / 294</v>
      </c>
      <c r="N301" s="28" t="str">
        <f>CONCATENATE(SUM($G$6:$G301)," / ",SUM($G$6:$G$370))</f>
        <v>2026,5 / 2244,5</v>
      </c>
      <c r="O301" s="24"/>
      <c r="P301" s="224">
        <v>0</v>
      </c>
      <c r="Q301" s="28" t="str">
        <f>CONCATENATE(SUMIF($C$6:$C301,C301,$P$6:$P$370)," / ",SUMIF($C$6:$C$370,C301,$P$6:$P$370))</f>
        <v>0 / 0</v>
      </c>
      <c r="R301" s="28" t="str">
        <f>CONCATENATE(SUMIF($D$6:$D301,$D301,$P$6:$P$370)," / ",SUMIF($D$6:$D$370,$D301,$P$6:$P$370))</f>
        <v>0 / 0</v>
      </c>
      <c r="S301" s="28" t="str">
        <f>CONCATENATE(SUM($P$6:$P301)," / ",SUM($P$6:$P$370))</f>
        <v>30850 / 30850</v>
      </c>
      <c r="T301" s="18"/>
      <c r="U301" s="18"/>
      <c r="V301" s="21"/>
    </row>
    <row r="302" spans="1:22" ht="13" thickBot="1">
      <c r="A302" s="18"/>
      <c r="B302" s="238">
        <f t="shared" si="89"/>
        <v>42336</v>
      </c>
      <c r="C302" s="212">
        <f t="shared" si="93"/>
        <v>48</v>
      </c>
      <c r="D302" s="212">
        <f t="shared" si="91"/>
        <v>11</v>
      </c>
      <c r="E302" s="212">
        <v>22</v>
      </c>
      <c r="F302" s="213" t="s">
        <v>617</v>
      </c>
      <c r="G302" s="225"/>
      <c r="H302" s="212" t="str">
        <f>CONCATENATE(SUMIF($C$6:$C302,C302,$E$6:$E$370)," / ",SUMIF($C$6:$C$370,C302,$E$6:$E$370))</f>
        <v>96 / 96</v>
      </c>
      <c r="I302" s="212" t="str">
        <f>CONCATENATE(SUMIF($D$6:$D302,D302,$E$6:$E$370)," / ",SUMIF($D$6:$D$370,D302,$E$6:$E$370))</f>
        <v>249 / 260</v>
      </c>
      <c r="J302" s="212" t="str">
        <f>CONCATENATE(SUM($E$6:$E302)," / ",SUM($E$6:$E$370))</f>
        <v>1974 / 2271</v>
      </c>
      <c r="K302" s="214" t="s">
        <v>478</v>
      </c>
      <c r="L302" s="28" t="str">
        <f>CONCATENATE(SUMIF($C$6:$C302,C302,$G$6:$G$370)," / ",SUMIF($C$6:$C$370,C302,$G$6:$G$370))</f>
        <v>26 / 26</v>
      </c>
      <c r="M302" s="28" t="str">
        <f>CONCATENATE(SUMIF($D$6:$D302,D302,$G$6:$G$370)," / ",SUMIF($D$6:$D$370,D302,$G$6:$G$370))</f>
        <v>294 / 294</v>
      </c>
      <c r="N302" s="28" t="str">
        <f>CONCATENATE(SUM($G$6:$G302)," / ",SUM($G$6:$G$370))</f>
        <v>2026,5 / 2244,5</v>
      </c>
      <c r="O302" s="24"/>
      <c r="P302" s="224">
        <v>0</v>
      </c>
      <c r="Q302" s="28" t="str">
        <f>CONCATENATE(SUMIF($C$6:$C302,C302,$P$6:$P$370)," / ",SUMIF($C$6:$C$370,C302,$P$6:$P$370))</f>
        <v>0 / 0</v>
      </c>
      <c r="R302" s="28" t="str">
        <f>CONCATENATE(SUMIF($D$6:$D302,$D302,$P$6:$P$370)," / ",SUMIF($D$6:$D$370,$D302,$P$6:$P$370))</f>
        <v>0 / 0</v>
      </c>
      <c r="S302" s="28" t="str">
        <f>CONCATENATE(SUM($P$6:$P302)," / ",SUM($P$6:$P$370))</f>
        <v>30850 / 30850</v>
      </c>
      <c r="T302" s="18"/>
      <c r="U302" s="18"/>
      <c r="V302" s="21"/>
    </row>
    <row r="303" spans="1:22" ht="13" thickBot="1">
      <c r="A303" s="18"/>
      <c r="B303" s="238">
        <f t="shared" ref="B303:B335" si="94">B302+1</f>
        <v>42337</v>
      </c>
      <c r="C303" s="212">
        <f t="shared" si="93"/>
        <v>49</v>
      </c>
      <c r="D303" s="212">
        <f t="shared" si="91"/>
        <v>11</v>
      </c>
      <c r="E303" s="212">
        <v>11</v>
      </c>
      <c r="F303" s="213" t="s">
        <v>629</v>
      </c>
      <c r="G303" s="225"/>
      <c r="H303" s="212" t="str">
        <f>CONCATENATE(SUMIF($C$6:$C303,C303,$E$6:$E$370)," / ",SUMIF($C$6:$C$370,C303,$E$6:$E$370))</f>
        <v>11 / 81</v>
      </c>
      <c r="I303" s="212" t="str">
        <f>CONCATENATE(SUMIF($D$6:$D303,D303,$E$6:$E$370)," / ",SUMIF($D$6:$D$370,D303,$E$6:$E$370))</f>
        <v>260 / 260</v>
      </c>
      <c r="J303" s="212" t="str">
        <f>CONCATENATE(SUM($E$6:$E303)," / ",SUM($E$6:$E$370))</f>
        <v>1985 / 2271</v>
      </c>
      <c r="K303" s="214" t="s">
        <v>478</v>
      </c>
      <c r="L303" s="28" t="str">
        <f>CONCATENATE(SUMIF($C$6:$C303,C303,$G$6:$G$370)," / ",SUMIF($C$6:$C$370,C303,$G$6:$G$370))</f>
        <v>0 / 30</v>
      </c>
      <c r="M303" s="28" t="str">
        <f>CONCATENATE(SUMIF($D$6:$D303,D303,$G$6:$G$370)," / ",SUMIF($D$6:$D$370,D303,$G$6:$G$370))</f>
        <v>294 / 294</v>
      </c>
      <c r="N303" s="28" t="str">
        <f>CONCATENATE(SUM($G$6:$G303)," / ",SUM($G$6:$G$370))</f>
        <v>2026,5 / 2244,5</v>
      </c>
      <c r="O303" s="24"/>
      <c r="P303" s="224">
        <v>0</v>
      </c>
      <c r="Q303" s="28" t="str">
        <f>CONCATENATE(SUMIF($C$6:$C303,C303,$P$6:$P$370)," / ",SUMIF($C$6:$C$370,C303,$P$6:$P$370))</f>
        <v>0 / 0</v>
      </c>
      <c r="R303" s="28" t="str">
        <f>CONCATENATE(SUMIF($D$6:$D303,$D303,$P$6:$P$370)," / ",SUMIF($D$6:$D$370,$D303,$P$6:$P$370))</f>
        <v>0 / 0</v>
      </c>
      <c r="S303" s="28" t="str">
        <f>CONCATENATE(SUM($P$6:$P303)," / ",SUM($P$6:$P$370))</f>
        <v>30850 / 30850</v>
      </c>
      <c r="T303" s="18"/>
      <c r="U303" s="18"/>
      <c r="V303" s="21"/>
    </row>
    <row r="304" spans="1:22" ht="13" thickBot="1">
      <c r="A304" s="18"/>
      <c r="B304" s="238">
        <f t="shared" si="94"/>
        <v>42338</v>
      </c>
      <c r="C304" s="212">
        <f t="shared" si="93"/>
        <v>49</v>
      </c>
      <c r="D304" s="212">
        <f t="shared" si="91"/>
        <v>11</v>
      </c>
      <c r="E304" s="212">
        <v>0</v>
      </c>
      <c r="F304" s="213"/>
      <c r="G304" s="225"/>
      <c r="H304" s="212" t="str">
        <f>CONCATENATE(SUMIF($C$6:$C304,C304,$E$6:$E$370)," / ",SUMIF($C$6:$C$370,C304,$E$6:$E$370))</f>
        <v>11 / 81</v>
      </c>
      <c r="I304" s="212" t="str">
        <f>CONCATENATE(SUMIF($D$6:$D304,D304,$E$6:$E$370)," / ",SUMIF($D$6:$D$370,D304,$E$6:$E$370))</f>
        <v>260 / 260</v>
      </c>
      <c r="J304" s="212" t="str">
        <f>CONCATENATE(SUM($E$6:$E304)," / ",SUM($E$6:$E$370))</f>
        <v>1985 / 2271</v>
      </c>
      <c r="K304" s="214"/>
      <c r="L304" s="28" t="str">
        <f>CONCATENATE(SUMIF($C$6:$C304,C304,$G$6:$G$370)," / ",SUMIF($C$6:$C$370,C304,$G$6:$G$370))</f>
        <v>0 / 30</v>
      </c>
      <c r="M304" s="28" t="str">
        <f>CONCATENATE(SUMIF($D$6:$D304,D304,$G$6:$G$370)," / ",SUMIF($D$6:$D$370,D304,$G$6:$G$370))</f>
        <v>294 / 294</v>
      </c>
      <c r="N304" s="28" t="str">
        <f>CONCATENATE(SUM($G$6:$G304)," / ",SUM($G$6:$G$370))</f>
        <v>2026,5 / 2244,5</v>
      </c>
      <c r="O304" s="24"/>
      <c r="P304" s="224">
        <v>0</v>
      </c>
      <c r="Q304" s="28" t="str">
        <f>CONCATENATE(SUMIF($C$6:$C304,C304,$P$6:$P$370)," / ",SUMIF($C$6:$C$370,C304,$P$6:$P$370))</f>
        <v>0 / 0</v>
      </c>
      <c r="R304" s="28" t="str">
        <f>CONCATENATE(SUMIF($D$6:$D304,$D304,$P$6:$P$370)," / ",SUMIF($D$6:$D$370,$D304,$P$6:$P$370))</f>
        <v>0 / 0</v>
      </c>
      <c r="S304" s="28" t="str">
        <f>CONCATENATE(SUM($P$6:$P304)," / ",SUM($P$6:$P$370))</f>
        <v>30850 / 30850</v>
      </c>
      <c r="T304" s="18"/>
      <c r="U304" s="18"/>
      <c r="V304" s="21"/>
    </row>
    <row r="305" spans="1:22" ht="13" thickBot="1">
      <c r="A305" s="18"/>
      <c r="B305" s="238">
        <f t="shared" si="94"/>
        <v>42339</v>
      </c>
      <c r="C305" s="212">
        <f t="shared" si="93"/>
        <v>49</v>
      </c>
      <c r="D305" s="212">
        <f t="shared" ref="D305:D335" si="95">MONTH(B305)</f>
        <v>12</v>
      </c>
      <c r="E305" s="212">
        <v>16</v>
      </c>
      <c r="F305" s="213" t="s">
        <v>630</v>
      </c>
      <c r="G305" s="225"/>
      <c r="H305" s="212" t="str">
        <f>CONCATENATE(SUMIF($C$6:$C305,C305,$E$6:$E$370)," / ",SUMIF($C$6:$C$370,C305,$E$6:$E$370))</f>
        <v>27 / 81</v>
      </c>
      <c r="I305" s="212" t="str">
        <f>CONCATENATE(SUMIF($D$6:$D305,D305,$E$6:$E$370)," / ",SUMIF($D$6:$D$370,D305,$E$6:$E$370))</f>
        <v>16 / 286</v>
      </c>
      <c r="J305" s="212" t="str">
        <f>CONCATENATE(SUM($E$6:$E305)," / ",SUM($E$6:$E$370))</f>
        <v>2001 / 2271</v>
      </c>
      <c r="K305" s="214" t="s">
        <v>478</v>
      </c>
      <c r="L305" s="28" t="str">
        <f>CONCATENATE(SUMIF($C$6:$C305,C305,$G$6:$G$370)," / ",SUMIF($C$6:$C$370,C305,$G$6:$G$370))</f>
        <v>0 / 30</v>
      </c>
      <c r="M305" s="28" t="str">
        <f>CONCATENATE(SUMIF($D$6:$D305,D305,$G$6:$G$370)," / ",SUMIF($D$6:$D$370,D305,$G$6:$G$370))</f>
        <v>0 / 218</v>
      </c>
      <c r="N305" s="28" t="str">
        <f>CONCATENATE(SUM($G$6:$G305)," / ",SUM($G$6:$G$370))</f>
        <v>2026,5 / 2244,5</v>
      </c>
      <c r="O305" s="24"/>
      <c r="P305" s="224">
        <v>0</v>
      </c>
      <c r="Q305" s="28" t="str">
        <f>CONCATENATE(SUMIF($C$6:$C305,C305,$P$6:$P$370)," / ",SUMIF($C$6:$C$370,C305,$P$6:$P$370))</f>
        <v>0 / 0</v>
      </c>
      <c r="R305" s="28" t="str">
        <f>CONCATENATE(SUMIF($D$6:$D305,$D305,$P$6:$P$370)," / ",SUMIF($D$6:$D$370,$D305,$P$6:$P$370))</f>
        <v>0 / 0</v>
      </c>
      <c r="S305" s="28" t="str">
        <f>CONCATENATE(SUM($P$6:$P305)," / ",SUM($P$6:$P$370))</f>
        <v>30850 / 30850</v>
      </c>
      <c r="T305" s="18"/>
      <c r="U305" s="18"/>
      <c r="V305" s="21"/>
    </row>
    <row r="306" spans="1:22" ht="13" thickBot="1">
      <c r="A306" s="18"/>
      <c r="B306" s="238">
        <f t="shared" si="94"/>
        <v>42340</v>
      </c>
      <c r="C306" s="212">
        <f t="shared" si="93"/>
        <v>49</v>
      </c>
      <c r="D306" s="212">
        <f t="shared" si="95"/>
        <v>12</v>
      </c>
      <c r="E306" s="212">
        <v>19</v>
      </c>
      <c r="F306" s="213" t="s">
        <v>631</v>
      </c>
      <c r="G306" s="225">
        <v>15</v>
      </c>
      <c r="H306" s="212" t="str">
        <f>CONCATENATE(SUMIF($C$6:$C306,C306,$E$6:$E$370)," / ",SUMIF($C$6:$C$370,C306,$E$6:$E$370))</f>
        <v>46 / 81</v>
      </c>
      <c r="I306" s="212" t="str">
        <f>CONCATENATE(SUMIF($D$6:$D306,D306,$E$6:$E$370)," / ",SUMIF($D$6:$D$370,D306,$E$6:$E$370))</f>
        <v>35 / 286</v>
      </c>
      <c r="J306" s="212" t="str">
        <f>CONCATENATE(SUM($E$6:$E306)," / ",SUM($E$6:$E$370))</f>
        <v>2020 / 2271</v>
      </c>
      <c r="K306" s="214" t="s">
        <v>478</v>
      </c>
      <c r="L306" s="28" t="str">
        <f>CONCATENATE(SUMIF($C$6:$C306,C306,$G$6:$G$370)," / ",SUMIF($C$6:$C$370,C306,$G$6:$G$370))</f>
        <v>15 / 30</v>
      </c>
      <c r="M306" s="28" t="str">
        <f>CONCATENATE(SUMIF($D$6:$D306,D306,$G$6:$G$370)," / ",SUMIF($D$6:$D$370,D306,$G$6:$G$370))</f>
        <v>15 / 218</v>
      </c>
      <c r="N306" s="28" t="str">
        <f>CONCATENATE(SUM($G$6:$G306)," / ",SUM($G$6:$G$370))</f>
        <v>2041,5 / 2244,5</v>
      </c>
      <c r="O306" s="24"/>
      <c r="P306" s="224">
        <v>0</v>
      </c>
      <c r="Q306" s="28" t="str">
        <f>CONCATENATE(SUMIF($C$6:$C306,C306,$P$6:$P$370)," / ",SUMIF($C$6:$C$370,C306,$P$6:$P$370))</f>
        <v>0 / 0</v>
      </c>
      <c r="R306" s="28" t="str">
        <f>CONCATENATE(SUMIF($D$6:$D306,$D306,$P$6:$P$370)," / ",SUMIF($D$6:$D$370,$D306,$P$6:$P$370))</f>
        <v>0 / 0</v>
      </c>
      <c r="S306" s="28" t="str">
        <f>CONCATENATE(SUM($P$6:$P306)," / ",SUM($P$6:$P$370))</f>
        <v>30850 / 30850</v>
      </c>
      <c r="T306" s="18"/>
      <c r="U306" s="18"/>
      <c r="V306" s="21"/>
    </row>
    <row r="307" spans="1:22" ht="13" thickBot="1">
      <c r="A307" s="18"/>
      <c r="B307" s="238">
        <f t="shared" si="94"/>
        <v>42341</v>
      </c>
      <c r="C307" s="212">
        <f t="shared" si="93"/>
        <v>49</v>
      </c>
      <c r="D307" s="212">
        <f t="shared" si="95"/>
        <v>12</v>
      </c>
      <c r="E307" s="212">
        <v>10</v>
      </c>
      <c r="F307" s="213" t="s">
        <v>632</v>
      </c>
      <c r="G307" s="225"/>
      <c r="H307" s="212" t="str">
        <f>CONCATENATE(SUMIF($C$6:$C307,C307,$E$6:$E$370)," / ",SUMIF($C$6:$C$370,C307,$E$6:$E$370))</f>
        <v>56 / 81</v>
      </c>
      <c r="I307" s="212" t="str">
        <f>CONCATENATE(SUMIF($D$6:$D307,D307,$E$6:$E$370)," / ",SUMIF($D$6:$D$370,D307,$E$6:$E$370))</f>
        <v>45 / 286</v>
      </c>
      <c r="J307" s="212" t="str">
        <f>CONCATENATE(SUM($E$6:$E307)," / ",SUM($E$6:$E$370))</f>
        <v>2030 / 2271</v>
      </c>
      <c r="K307" s="214" t="s">
        <v>634</v>
      </c>
      <c r="L307" s="28" t="str">
        <f>CONCATENATE(SUMIF($C$6:$C307,C307,$G$6:$G$370)," / ",SUMIF($C$6:$C$370,C307,$G$6:$G$370))</f>
        <v>15 / 30</v>
      </c>
      <c r="M307" s="28" t="str">
        <f>CONCATENATE(SUMIF($D$6:$D307,D307,$G$6:$G$370)," / ",SUMIF($D$6:$D$370,D307,$G$6:$G$370))</f>
        <v>15 / 218</v>
      </c>
      <c r="N307" s="28" t="str">
        <f>CONCATENATE(SUM($G$6:$G307)," / ",SUM($G$6:$G$370))</f>
        <v>2041,5 / 2244,5</v>
      </c>
      <c r="O307" s="24"/>
      <c r="P307" s="224">
        <v>0</v>
      </c>
      <c r="Q307" s="28" t="str">
        <f>CONCATENATE(SUMIF($C$6:$C307,C307,$P$6:$P$370)," / ",SUMIF($C$6:$C$370,C307,$P$6:$P$370))</f>
        <v>0 / 0</v>
      </c>
      <c r="R307" s="28" t="str">
        <f>CONCATENATE(SUMIF($D$6:$D307,$D307,$P$6:$P$370)," / ",SUMIF($D$6:$D$370,$D307,$P$6:$P$370))</f>
        <v>0 / 0</v>
      </c>
      <c r="S307" s="28" t="str">
        <f>CONCATENATE(SUM($P$6:$P307)," / ",SUM($P$6:$P$370))</f>
        <v>30850 / 30850</v>
      </c>
      <c r="T307" s="18"/>
      <c r="U307" s="18"/>
      <c r="V307" s="21"/>
    </row>
    <row r="308" spans="1:22" ht="13" thickBot="1">
      <c r="A308" s="18"/>
      <c r="B308" s="238">
        <f t="shared" si="94"/>
        <v>42342</v>
      </c>
      <c r="C308" s="212">
        <f t="shared" si="93"/>
        <v>49</v>
      </c>
      <c r="D308" s="212">
        <f t="shared" si="95"/>
        <v>12</v>
      </c>
      <c r="E308" s="212">
        <v>9</v>
      </c>
      <c r="F308" s="213" t="s">
        <v>635</v>
      </c>
      <c r="G308" s="225"/>
      <c r="H308" s="212" t="str">
        <f>CONCATENATE(SUMIF($C$6:$C308,C308,$E$6:$E$370)," / ",SUMIF($C$6:$C$370,C308,$E$6:$E$370))</f>
        <v>65 / 81</v>
      </c>
      <c r="I308" s="212" t="str">
        <f>CONCATENATE(SUMIF($D$6:$D308,D308,$E$6:$E$370)," / ",SUMIF($D$6:$D$370,D308,$E$6:$E$370))</f>
        <v>54 / 286</v>
      </c>
      <c r="J308" s="212" t="str">
        <f>CONCATENATE(SUM($E$6:$E308)," / ",SUM($E$6:$E$370))</f>
        <v>2039 / 2271</v>
      </c>
      <c r="K308" s="214" t="s">
        <v>634</v>
      </c>
      <c r="L308" s="28" t="str">
        <f>CONCATENATE(SUMIF($C$6:$C308,C308,$G$6:$G$370)," / ",SUMIF($C$6:$C$370,C308,$G$6:$G$370))</f>
        <v>15 / 30</v>
      </c>
      <c r="M308" s="28" t="str">
        <f>CONCATENATE(SUMIF($D$6:$D308,D308,$G$6:$G$370)," / ",SUMIF($D$6:$D$370,D308,$G$6:$G$370))</f>
        <v>15 / 218</v>
      </c>
      <c r="N308" s="28" t="str">
        <f>CONCATENATE(SUM($G$6:$G308)," / ",SUM($G$6:$G$370))</f>
        <v>2041,5 / 2244,5</v>
      </c>
      <c r="O308" s="24"/>
      <c r="P308" s="224">
        <v>0</v>
      </c>
      <c r="Q308" s="28" t="str">
        <f>CONCATENATE(SUMIF($C$6:$C308,C308,$P$6:$P$370)," / ",SUMIF($C$6:$C$370,C308,$P$6:$P$370))</f>
        <v>0 / 0</v>
      </c>
      <c r="R308" s="28" t="str">
        <f>CONCATENATE(SUMIF($D$6:$D308,$D308,$P$6:$P$370)," / ",SUMIF($D$6:$D$370,$D308,$P$6:$P$370))</f>
        <v>0 / 0</v>
      </c>
      <c r="S308" s="28" t="str">
        <f>CONCATENATE(SUM($P$6:$P308)," / ",SUM($P$6:$P$370))</f>
        <v>30850 / 30850</v>
      </c>
      <c r="T308" s="18"/>
      <c r="U308" s="18"/>
      <c r="V308" s="21"/>
    </row>
    <row r="309" spans="1:22" ht="16" thickBot="1">
      <c r="A309" s="18"/>
      <c r="B309" s="239">
        <f t="shared" si="94"/>
        <v>42343</v>
      </c>
      <c r="C309" s="193">
        <f t="shared" si="93"/>
        <v>49</v>
      </c>
      <c r="D309" s="193">
        <f t="shared" si="95"/>
        <v>12</v>
      </c>
      <c r="E309" s="194">
        <v>16</v>
      </c>
      <c r="F309" s="195" t="s">
        <v>598</v>
      </c>
      <c r="G309" s="193">
        <v>15</v>
      </c>
      <c r="H309" s="194" t="str">
        <f>CONCATENATE(SUMIF($C$6:$C309,C309,$E$6:$E$370)," / ",SUMIF($C$6:$C$370,C309,$E$6:$E$370))</f>
        <v>81 / 81</v>
      </c>
      <c r="I309" s="194" t="str">
        <f>CONCATENATE(SUMIF($D$6:$D309,D309,$E$6:$E$370)," / ",SUMIF($D$6:$D$370,D309,$E$6:$E$370))</f>
        <v>70 / 286</v>
      </c>
      <c r="J309" s="194" t="str">
        <f>CONCATENATE(SUM($E$6:$E309)," / ",SUM($E$6:$E$370))</f>
        <v>2055 / 2271</v>
      </c>
      <c r="K309" s="196" t="s">
        <v>634</v>
      </c>
      <c r="L309" s="28" t="str">
        <f>CONCATENATE(SUMIF($C$6:$C309,C309,$G$6:$G$370)," / ",SUMIF($C$6:$C$370,C309,$G$6:$G$370))</f>
        <v>30 / 30</v>
      </c>
      <c r="M309" s="28" t="str">
        <f>CONCATENATE(SUMIF($D$6:$D309,D309,$G$6:$G$370)," / ",SUMIF($D$6:$D$370,D309,$G$6:$G$370))</f>
        <v>30 / 218</v>
      </c>
      <c r="N309" s="28" t="str">
        <f>CONCATENATE(SUM($G$6:$G309)," / ",SUM($G$6:$G$370))</f>
        <v>2056,5 / 2244,5</v>
      </c>
      <c r="O309" s="24" t="s">
        <v>489</v>
      </c>
      <c r="P309" s="224">
        <v>0</v>
      </c>
      <c r="Q309" s="28" t="str">
        <f>CONCATENATE(SUMIF($C$6:$C309,C309,$P$6:$P$370)," / ",SUMIF($C$6:$C$370,C309,$P$6:$P$370))</f>
        <v>0 / 0</v>
      </c>
      <c r="R309" s="28" t="str">
        <f>CONCATENATE(SUMIF($D$6:$D309,$D309,$P$6:$P$370)," / ",SUMIF($D$6:$D$370,$D309,$P$6:$P$370))</f>
        <v>0 / 0</v>
      </c>
      <c r="S309" s="28" t="str">
        <f>CONCATENATE(SUM($P$6:$P309)," / ",SUM($P$6:$P$370))</f>
        <v>30850 / 30850</v>
      </c>
      <c r="T309" s="18"/>
      <c r="U309" s="18"/>
      <c r="V309" s="21"/>
    </row>
    <row r="310" spans="1:22" ht="13" thickBot="1">
      <c r="A310" s="18"/>
      <c r="B310" s="238">
        <f t="shared" si="94"/>
        <v>42344</v>
      </c>
      <c r="C310" s="212">
        <f t="shared" si="93"/>
        <v>50</v>
      </c>
      <c r="D310" s="212">
        <f t="shared" si="95"/>
        <v>12</v>
      </c>
      <c r="E310" s="212">
        <v>10</v>
      </c>
      <c r="F310" s="213" t="s">
        <v>417</v>
      </c>
      <c r="G310" s="225"/>
      <c r="H310" s="212" t="str">
        <f>CONCATENATE(SUMIF($C$6:$C310,C310,$E$6:$E$370)," / ",SUMIF($C$6:$C$370,C310,$E$6:$E$370))</f>
        <v>10 / 44</v>
      </c>
      <c r="I310" s="212" t="str">
        <f>CONCATENATE(SUMIF($D$6:$D310,D310,$E$6:$E$370)," / ",SUMIF($D$6:$D$370,D310,$E$6:$E$370))</f>
        <v>80 / 286</v>
      </c>
      <c r="J310" s="212" t="str">
        <f>CONCATENATE(SUM($E$6:$E310)," / ",SUM($E$6:$E$370))</f>
        <v>2065 / 2271</v>
      </c>
      <c r="K310" s="214" t="s">
        <v>478</v>
      </c>
      <c r="L310" s="28" t="str">
        <f>CONCATENATE(SUMIF($C$6:$C310,C310,$G$6:$G$370)," / ",SUMIF($C$6:$C$370,C310,$G$6:$G$370))</f>
        <v>0 / 27</v>
      </c>
      <c r="M310" s="28" t="str">
        <f>CONCATENATE(SUMIF($D$6:$D310,D310,$G$6:$G$370)," / ",SUMIF($D$6:$D$370,D310,$G$6:$G$370))</f>
        <v>30 / 218</v>
      </c>
      <c r="N310" s="28" t="str">
        <f>CONCATENATE(SUM($G$6:$G310)," / ",SUM($G$6:$G$370))</f>
        <v>2056,5 / 2244,5</v>
      </c>
      <c r="O310" s="24"/>
      <c r="P310" s="224">
        <v>0</v>
      </c>
      <c r="Q310" s="28" t="str">
        <f>CONCATENATE(SUMIF($C$6:$C310,C310,$P$6:$P$370)," / ",SUMIF($C$6:$C$370,C310,$P$6:$P$370))</f>
        <v>0 / 0</v>
      </c>
      <c r="R310" s="28" t="str">
        <f>CONCATENATE(SUMIF($D$6:$D310,$D310,$P$6:$P$370)," / ",SUMIF($D$6:$D$370,$D310,$P$6:$P$370))</f>
        <v>0 / 0</v>
      </c>
      <c r="S310" s="28" t="str">
        <f>CONCATENATE(SUM($P$6:$P310)," / ",SUM($P$6:$P$370))</f>
        <v>30850 / 30850</v>
      </c>
      <c r="T310" s="18"/>
      <c r="U310" s="18"/>
      <c r="V310" s="21"/>
    </row>
    <row r="311" spans="1:22" ht="13" thickBot="1">
      <c r="A311" s="18"/>
      <c r="B311" s="238">
        <f t="shared" si="94"/>
        <v>42345</v>
      </c>
      <c r="C311" s="212">
        <f t="shared" si="93"/>
        <v>50</v>
      </c>
      <c r="D311" s="212">
        <f t="shared" si="95"/>
        <v>12</v>
      </c>
      <c r="E311" s="212">
        <v>12</v>
      </c>
      <c r="F311" s="213" t="s">
        <v>641</v>
      </c>
      <c r="G311" s="225">
        <v>27</v>
      </c>
      <c r="H311" s="212" t="str">
        <f>CONCATENATE(SUMIF($C$6:$C311,C311,$E$6:$E$370)," / ",SUMIF($C$6:$C$370,C311,$E$6:$E$370))</f>
        <v>22 / 44</v>
      </c>
      <c r="I311" s="212" t="str">
        <f>CONCATENATE(SUMIF($D$6:$D311,D311,$E$6:$E$370)," / ",SUMIF($D$6:$D$370,D311,$E$6:$E$370))</f>
        <v>92 / 286</v>
      </c>
      <c r="J311" s="212" t="str">
        <f>CONCATENATE(SUM($E$6:$E311)," / ",SUM($E$6:$E$370))</f>
        <v>2077 / 2271</v>
      </c>
      <c r="K311" s="214" t="s">
        <v>634</v>
      </c>
      <c r="L311" s="28" t="str">
        <f>CONCATENATE(SUMIF($C$6:$C311,C311,$G$6:$G$370)," / ",SUMIF($C$6:$C$370,C311,$G$6:$G$370))</f>
        <v>27 / 27</v>
      </c>
      <c r="M311" s="28" t="str">
        <f>CONCATENATE(SUMIF($D$6:$D311,D311,$G$6:$G$370)," / ",SUMIF($D$6:$D$370,D311,$G$6:$G$370))</f>
        <v>57 / 218</v>
      </c>
      <c r="N311" s="28" t="str">
        <f>CONCATENATE(SUM($G$6:$G311)," / ",SUM($G$6:$G$370))</f>
        <v>2083,5 / 2244,5</v>
      </c>
      <c r="O311" s="24"/>
      <c r="P311" s="224">
        <v>0</v>
      </c>
      <c r="Q311" s="28" t="str">
        <f>CONCATENATE(SUMIF($C$6:$C311,C311,$P$6:$P$370)," / ",SUMIF($C$6:$C$370,C311,$P$6:$P$370))</f>
        <v>0 / 0</v>
      </c>
      <c r="R311" s="28" t="str">
        <f>CONCATENATE(SUMIF($D$6:$D311,$D311,$P$6:$P$370)," / ",SUMIF($D$6:$D$370,$D311,$P$6:$P$370))</f>
        <v>0 / 0</v>
      </c>
      <c r="S311" s="28" t="str">
        <f>CONCATENATE(SUM($P$6:$P311)," / ",SUM($P$6:$P$370))</f>
        <v>30850 / 30850</v>
      </c>
      <c r="T311" s="18"/>
      <c r="U311" s="18"/>
      <c r="V311" s="21"/>
    </row>
    <row r="312" spans="1:22" ht="13" thickBot="1">
      <c r="A312" s="18"/>
      <c r="B312" s="238">
        <f t="shared" si="94"/>
        <v>42346</v>
      </c>
      <c r="C312" s="212">
        <f t="shared" si="93"/>
        <v>50</v>
      </c>
      <c r="D312" s="212">
        <f t="shared" si="95"/>
        <v>12</v>
      </c>
      <c r="E312" s="212">
        <v>0</v>
      </c>
      <c r="F312" s="213" t="s">
        <v>421</v>
      </c>
      <c r="G312" s="225"/>
      <c r="H312" s="212" t="str">
        <f>CONCATENATE(SUMIF($C$6:$C312,C312,$E$6:$E$370)," / ",SUMIF($C$6:$C$370,C312,$E$6:$E$370))</f>
        <v>22 / 44</v>
      </c>
      <c r="I312" s="212" t="str">
        <f>CONCATENATE(SUMIF($D$6:$D312,D312,$E$6:$E$370)," / ",SUMIF($D$6:$D$370,D312,$E$6:$E$370))</f>
        <v>92 / 286</v>
      </c>
      <c r="J312" s="212" t="str">
        <f>CONCATENATE(SUM($E$6:$E312)," / ",SUM($E$6:$E$370))</f>
        <v>2077 / 2271</v>
      </c>
      <c r="K312" s="214"/>
      <c r="L312" s="28" t="str">
        <f>CONCATENATE(SUMIF($C$6:$C312,C312,$G$6:$G$370)," / ",SUMIF($C$6:$C$370,C312,$G$6:$G$370))</f>
        <v>27 / 27</v>
      </c>
      <c r="M312" s="28" t="str">
        <f>CONCATENATE(SUMIF($D$6:$D312,D312,$G$6:$G$370)," / ",SUMIF($D$6:$D$370,D312,$G$6:$G$370))</f>
        <v>57 / 218</v>
      </c>
      <c r="N312" s="28" t="str">
        <f>CONCATENATE(SUM($G$6:$G312)," / ",SUM($G$6:$G$370))</f>
        <v>2083,5 / 2244,5</v>
      </c>
      <c r="O312" s="24"/>
      <c r="P312" s="224">
        <v>0</v>
      </c>
      <c r="Q312" s="28" t="str">
        <f>CONCATENATE(SUMIF($C$6:$C312,C312,$P$6:$P$370)," / ",SUMIF($C$6:$C$370,C312,$P$6:$P$370))</f>
        <v>0 / 0</v>
      </c>
      <c r="R312" s="28" t="str">
        <f>CONCATENATE(SUMIF($D$6:$D312,$D312,$P$6:$P$370)," / ",SUMIF($D$6:$D$370,$D312,$P$6:$P$370))</f>
        <v>0 / 0</v>
      </c>
      <c r="S312" s="28" t="str">
        <f>CONCATENATE(SUM($P$6:$P312)," / ",SUM($P$6:$P$370))</f>
        <v>30850 / 30850</v>
      </c>
      <c r="T312" s="18"/>
      <c r="U312" s="18"/>
      <c r="V312" s="21"/>
    </row>
    <row r="313" spans="1:22" ht="13" thickBot="1">
      <c r="A313" s="18"/>
      <c r="B313" s="238">
        <f t="shared" si="94"/>
        <v>42347</v>
      </c>
      <c r="C313" s="212">
        <f t="shared" si="93"/>
        <v>50</v>
      </c>
      <c r="D313" s="212">
        <f t="shared" si="95"/>
        <v>12</v>
      </c>
      <c r="E313" s="212">
        <v>22</v>
      </c>
      <c r="F313" s="213" t="s">
        <v>638</v>
      </c>
      <c r="G313" s="225"/>
      <c r="H313" s="212" t="str">
        <f>CONCATENATE(SUMIF($C$6:$C313,C313,$E$6:$E$370)," / ",SUMIF($C$6:$C$370,C313,$E$6:$E$370))</f>
        <v>44 / 44</v>
      </c>
      <c r="I313" s="212" t="str">
        <f>CONCATENATE(SUMIF($D$6:$D313,D313,$E$6:$E$370)," / ",SUMIF($D$6:$D$370,D313,$E$6:$E$370))</f>
        <v>114 / 286</v>
      </c>
      <c r="J313" s="212" t="str">
        <f>CONCATENATE(SUM($E$6:$E313)," / ",SUM($E$6:$E$370))</f>
        <v>2099 / 2271</v>
      </c>
      <c r="K313" s="214" t="s">
        <v>634</v>
      </c>
      <c r="L313" s="28" t="str">
        <f>CONCATENATE(SUMIF($C$6:$C313,C313,$G$6:$G$370)," / ",SUMIF($C$6:$C$370,C313,$G$6:$G$370))</f>
        <v>27 / 27</v>
      </c>
      <c r="M313" s="28" t="str">
        <f>CONCATENATE(SUMIF($D$6:$D313,D313,$G$6:$G$370)," / ",SUMIF($D$6:$D$370,D313,$G$6:$G$370))</f>
        <v>57 / 218</v>
      </c>
      <c r="N313" s="28" t="str">
        <f>CONCATENATE(SUM($G$6:$G313)," / ",SUM($G$6:$G$370))</f>
        <v>2083,5 / 2244,5</v>
      </c>
      <c r="O313" s="24"/>
      <c r="P313" s="224">
        <v>0</v>
      </c>
      <c r="Q313" s="28" t="str">
        <f>CONCATENATE(SUMIF($C$6:$C313,C313,$P$6:$P$370)," / ",SUMIF($C$6:$C$370,C313,$P$6:$P$370))</f>
        <v>0 / 0</v>
      </c>
      <c r="R313" s="28" t="str">
        <f>CONCATENATE(SUMIF($D$6:$D313,$D313,$P$6:$P$370)," / ",SUMIF($D$6:$D$370,$D313,$P$6:$P$370))</f>
        <v>0 / 0</v>
      </c>
      <c r="S313" s="28" t="str">
        <f>CONCATENATE(SUM($P$6:$P313)," / ",SUM($P$6:$P$370))</f>
        <v>30850 / 30850</v>
      </c>
      <c r="T313" s="18"/>
      <c r="U313" s="18"/>
      <c r="V313" s="21"/>
    </row>
    <row r="314" spans="1:22" ht="13" thickBot="1">
      <c r="A314" s="18"/>
      <c r="B314" s="238">
        <f t="shared" si="94"/>
        <v>42348</v>
      </c>
      <c r="C314" s="212">
        <f t="shared" si="93"/>
        <v>50</v>
      </c>
      <c r="D314" s="212">
        <f t="shared" si="95"/>
        <v>12</v>
      </c>
      <c r="E314" s="212">
        <v>0</v>
      </c>
      <c r="F314" s="213"/>
      <c r="G314" s="225"/>
      <c r="H314" s="212" t="str">
        <f>CONCATENATE(SUMIF($C$6:$C314,C314,$E$6:$E$370)," / ",SUMIF($C$6:$C$370,C314,$E$6:$E$370))</f>
        <v>44 / 44</v>
      </c>
      <c r="I314" s="212" t="str">
        <f>CONCATENATE(SUMIF($D$6:$D314,D314,$E$6:$E$370)," / ",SUMIF($D$6:$D$370,D314,$E$6:$E$370))</f>
        <v>114 / 286</v>
      </c>
      <c r="J314" s="212" t="str">
        <f>CONCATENATE(SUM($E$6:$E314)," / ",SUM($E$6:$E$370))</f>
        <v>2099 / 2271</v>
      </c>
      <c r="K314" s="214"/>
      <c r="L314" s="28" t="str">
        <f>CONCATENATE(SUMIF($C$6:$C314,C314,$G$6:$G$370)," / ",SUMIF($C$6:$C$370,C314,$G$6:$G$370))</f>
        <v>27 / 27</v>
      </c>
      <c r="M314" s="28" t="str">
        <f>CONCATENATE(SUMIF($D$6:$D314,D314,$G$6:$G$370)," / ",SUMIF($D$6:$D$370,D314,$G$6:$G$370))</f>
        <v>57 / 218</v>
      </c>
      <c r="N314" s="28" t="str">
        <f>CONCATENATE(SUM($G$6:$G314)," / ",SUM($G$6:$G$370))</f>
        <v>2083,5 / 2244,5</v>
      </c>
      <c r="O314" s="24"/>
      <c r="P314" s="224">
        <v>0</v>
      </c>
      <c r="Q314" s="28" t="str">
        <f>CONCATENATE(SUMIF($C$6:$C314,C314,$P$6:$P$370)," / ",SUMIF($C$6:$C$370,C314,$P$6:$P$370))</f>
        <v>0 / 0</v>
      </c>
      <c r="R314" s="28" t="str">
        <f>CONCATENATE(SUMIF($D$6:$D314,$D314,$P$6:$P$370)," / ",SUMIF($D$6:$D$370,$D314,$P$6:$P$370))</f>
        <v>0 / 0</v>
      </c>
      <c r="S314" s="28" t="str">
        <f>CONCATENATE(SUM($P$6:$P314)," / ",SUM($P$6:$P$370))</f>
        <v>30850 / 30850</v>
      </c>
      <c r="T314" s="18"/>
      <c r="U314" s="18"/>
      <c r="V314" s="21"/>
    </row>
    <row r="315" spans="1:22" ht="13" thickBot="1">
      <c r="A315" s="18"/>
      <c r="B315" s="238">
        <f t="shared" si="94"/>
        <v>42349</v>
      </c>
      <c r="C315" s="212">
        <f t="shared" si="93"/>
        <v>50</v>
      </c>
      <c r="D315" s="212">
        <f t="shared" si="95"/>
        <v>12</v>
      </c>
      <c r="E315" s="212">
        <v>0</v>
      </c>
      <c r="F315" s="213"/>
      <c r="G315" s="225"/>
      <c r="H315" s="212" t="str">
        <f>CONCATENATE(SUMIF($C$6:$C315,C315,$E$6:$E$370)," / ",SUMIF($C$6:$C$370,C315,$E$6:$E$370))</f>
        <v>44 / 44</v>
      </c>
      <c r="I315" s="212" t="str">
        <f>CONCATENATE(SUMIF($D$6:$D315,D315,$E$6:$E$370)," / ",SUMIF($D$6:$D$370,D315,$E$6:$E$370))</f>
        <v>114 / 286</v>
      </c>
      <c r="J315" s="212" t="str">
        <f>CONCATENATE(SUM($E$6:$E315)," / ",SUM($E$6:$E$370))</f>
        <v>2099 / 2271</v>
      </c>
      <c r="K315" s="214"/>
      <c r="L315" s="28" t="str">
        <f>CONCATENATE(SUMIF($C$6:$C315,C315,$G$6:$G$370)," / ",SUMIF($C$6:$C$370,C315,$G$6:$G$370))</f>
        <v>27 / 27</v>
      </c>
      <c r="M315" s="28" t="str">
        <f>CONCATENATE(SUMIF($D$6:$D315,D315,$G$6:$G$370)," / ",SUMIF($D$6:$D$370,D315,$G$6:$G$370))</f>
        <v>57 / 218</v>
      </c>
      <c r="N315" s="28" t="str">
        <f>CONCATENATE(SUM($G$6:$G315)," / ",SUM($G$6:$G$370))</f>
        <v>2083,5 / 2244,5</v>
      </c>
      <c r="O315" s="24"/>
      <c r="P315" s="224">
        <v>0</v>
      </c>
      <c r="Q315" s="28" t="str">
        <f>CONCATENATE(SUMIF($C$6:$C315,C315,$P$6:$P$370)," / ",SUMIF($C$6:$C$370,C315,$P$6:$P$370))</f>
        <v>0 / 0</v>
      </c>
      <c r="R315" s="28" t="str">
        <f>CONCATENATE(SUMIF($D$6:$D315,$D315,$P$6:$P$370)," / ",SUMIF($D$6:$D$370,$D315,$P$6:$P$370))</f>
        <v>0 / 0</v>
      </c>
      <c r="S315" s="28" t="str">
        <f>CONCATENATE(SUM($P$6:$P315)," / ",SUM($P$6:$P$370))</f>
        <v>30850 / 30850</v>
      </c>
      <c r="T315" s="18"/>
      <c r="U315" s="18"/>
      <c r="V315" s="21"/>
    </row>
    <row r="316" spans="1:22" ht="13" thickBot="1">
      <c r="A316" s="18"/>
      <c r="B316" s="238">
        <f t="shared" si="94"/>
        <v>42350</v>
      </c>
      <c r="C316" s="212">
        <f t="shared" si="93"/>
        <v>50</v>
      </c>
      <c r="D316" s="212">
        <f t="shared" si="95"/>
        <v>12</v>
      </c>
      <c r="E316" s="212">
        <v>0</v>
      </c>
      <c r="F316" s="213"/>
      <c r="G316" s="225"/>
      <c r="H316" s="212" t="str">
        <f>CONCATENATE(SUMIF($C$6:$C316,C316,$E$6:$E$370)," / ",SUMIF($C$6:$C$370,C316,$E$6:$E$370))</f>
        <v>44 / 44</v>
      </c>
      <c r="I316" s="212" t="str">
        <f>CONCATENATE(SUMIF($D$6:$D316,D316,$E$6:$E$370)," / ",SUMIF($D$6:$D$370,D316,$E$6:$E$370))</f>
        <v>114 / 286</v>
      </c>
      <c r="J316" s="212" t="str">
        <f>CONCATENATE(SUM($E$6:$E316)," / ",SUM($E$6:$E$370))</f>
        <v>2099 / 2271</v>
      </c>
      <c r="K316" s="214"/>
      <c r="L316" s="28" t="str">
        <f>CONCATENATE(SUMIF($C$6:$C316,C316,$G$6:$G$370)," / ",SUMIF($C$6:$C$370,C316,$G$6:$G$370))</f>
        <v>27 / 27</v>
      </c>
      <c r="M316" s="28" t="str">
        <f>CONCATENATE(SUMIF($D$6:$D316,D316,$G$6:$G$370)," / ",SUMIF($D$6:$D$370,D316,$G$6:$G$370))</f>
        <v>57 / 218</v>
      </c>
      <c r="N316" s="28" t="str">
        <f>CONCATENATE(SUM($G$6:$G316)," / ",SUM($G$6:$G$370))</f>
        <v>2083,5 / 2244,5</v>
      </c>
      <c r="O316" s="24"/>
      <c r="P316" s="224">
        <v>0</v>
      </c>
      <c r="Q316" s="28" t="str">
        <f>CONCATENATE(SUMIF($C$6:$C316,C316,$P$6:$P$370)," / ",SUMIF($C$6:$C$370,C316,$P$6:$P$370))</f>
        <v>0 / 0</v>
      </c>
      <c r="R316" s="28" t="str">
        <f>CONCATENATE(SUMIF($D$6:$D316,$D316,$P$6:$P$370)," / ",SUMIF($D$6:$D$370,$D316,$P$6:$P$370))</f>
        <v>0 / 0</v>
      </c>
      <c r="S316" s="28" t="str">
        <f>CONCATENATE(SUM($P$6:$P316)," / ",SUM($P$6:$P$370))</f>
        <v>30850 / 30850</v>
      </c>
      <c r="T316" s="18"/>
      <c r="U316" s="18"/>
      <c r="V316" s="21"/>
    </row>
    <row r="317" spans="1:22" ht="13" thickBot="1">
      <c r="A317" s="18"/>
      <c r="B317" s="238">
        <f t="shared" si="94"/>
        <v>42351</v>
      </c>
      <c r="C317" s="212">
        <f t="shared" si="93"/>
        <v>51</v>
      </c>
      <c r="D317" s="212">
        <f t="shared" si="95"/>
        <v>12</v>
      </c>
      <c r="E317" s="212">
        <v>10</v>
      </c>
      <c r="F317" s="213" t="s">
        <v>640</v>
      </c>
      <c r="G317" s="225"/>
      <c r="H317" s="212" t="str">
        <f>CONCATENATE(SUMIF($C$6:$C317,C317,$E$6:$E$370)," / ",SUMIF($C$6:$C$370,C317,$E$6:$E$370))</f>
        <v>10 / 54</v>
      </c>
      <c r="I317" s="212" t="str">
        <f>CONCATENATE(SUMIF($D$6:$D317,D317,$E$6:$E$370)," / ",SUMIF($D$6:$D$370,D317,$E$6:$E$370))</f>
        <v>124 / 286</v>
      </c>
      <c r="J317" s="212" t="str">
        <f>CONCATENATE(SUM($E$6:$E317)," / ",SUM($E$6:$E$370))</f>
        <v>2109 / 2271</v>
      </c>
      <c r="K317" s="214"/>
      <c r="L317" s="28" t="str">
        <f>CONCATENATE(SUMIF($C$6:$C317,C317,$G$6:$G$370)," / ",SUMIF($C$6:$C$370,C317,$G$6:$G$370))</f>
        <v>0 / 87</v>
      </c>
      <c r="M317" s="28" t="str">
        <f>CONCATENATE(SUMIF($D$6:$D317,D317,$G$6:$G$370)," / ",SUMIF($D$6:$D$370,D317,$G$6:$G$370))</f>
        <v>57 / 218</v>
      </c>
      <c r="N317" s="28" t="str">
        <f>CONCATENATE(SUM($G$6:$G317)," / ",SUM($G$6:$G$370))</f>
        <v>2083,5 / 2244,5</v>
      </c>
      <c r="O317" s="24"/>
      <c r="P317" s="224">
        <v>0</v>
      </c>
      <c r="Q317" s="28" t="str">
        <f>CONCATENATE(SUMIF($C$6:$C317,C317,$P$6:$P$370)," / ",SUMIF($C$6:$C$370,C317,$P$6:$P$370))</f>
        <v>0 / 0</v>
      </c>
      <c r="R317" s="28" t="str">
        <f>CONCATENATE(SUMIF($D$6:$D317,$D317,$P$6:$P$370)," / ",SUMIF($D$6:$D$370,$D317,$P$6:$P$370))</f>
        <v>0 / 0</v>
      </c>
      <c r="S317" s="28" t="str">
        <f>CONCATENATE(SUM($P$6:$P317)," / ",SUM($P$6:$P$370))</f>
        <v>30850 / 30850</v>
      </c>
      <c r="T317" s="18"/>
      <c r="U317" s="18"/>
      <c r="V317" s="21"/>
    </row>
    <row r="318" spans="1:22" ht="13" thickBot="1">
      <c r="A318" s="18"/>
      <c r="B318" s="238">
        <f t="shared" si="94"/>
        <v>42352</v>
      </c>
      <c r="C318" s="212">
        <f t="shared" si="93"/>
        <v>51</v>
      </c>
      <c r="D318" s="212">
        <f t="shared" si="95"/>
        <v>12</v>
      </c>
      <c r="E318" s="212">
        <v>0</v>
      </c>
      <c r="F318" s="213"/>
      <c r="G318" s="225"/>
      <c r="H318" s="212" t="str">
        <f>CONCATENATE(SUMIF($C$6:$C318,C318,$E$6:$E$370)," / ",SUMIF($C$6:$C$370,C318,$E$6:$E$370))</f>
        <v>10 / 54</v>
      </c>
      <c r="I318" s="212" t="str">
        <f>CONCATENATE(SUMIF($D$6:$D318,D318,$E$6:$E$370)," / ",SUMIF($D$6:$D$370,D318,$E$6:$E$370))</f>
        <v>124 / 286</v>
      </c>
      <c r="J318" s="212" t="str">
        <f>CONCATENATE(SUM($E$6:$E318)," / ",SUM($E$6:$E$370))</f>
        <v>2109 / 2271</v>
      </c>
      <c r="K318" s="214"/>
      <c r="L318" s="28" t="str">
        <f>CONCATENATE(SUMIF($C$6:$C318,C318,$G$6:$G$370)," / ",SUMIF($C$6:$C$370,C318,$G$6:$G$370))</f>
        <v>0 / 87</v>
      </c>
      <c r="M318" s="28" t="str">
        <f>CONCATENATE(SUMIF($D$6:$D318,D318,$G$6:$G$370)," / ",SUMIF($D$6:$D$370,D318,$G$6:$G$370))</f>
        <v>57 / 218</v>
      </c>
      <c r="N318" s="28" t="str">
        <f>CONCATENATE(SUM($G$6:$G318)," / ",SUM($G$6:$G$370))</f>
        <v>2083,5 / 2244,5</v>
      </c>
      <c r="O318" s="24"/>
      <c r="P318" s="224">
        <v>0</v>
      </c>
      <c r="Q318" s="28" t="str">
        <f>CONCATENATE(SUMIF($C$6:$C318,C318,$P$6:$P$370)," / ",SUMIF($C$6:$C$370,C318,$P$6:$P$370))</f>
        <v>0 / 0</v>
      </c>
      <c r="R318" s="28" t="str">
        <f>CONCATENATE(SUMIF($D$6:$D318,$D318,$P$6:$P$370)," / ",SUMIF($D$6:$D$370,$D318,$P$6:$P$370))</f>
        <v>0 / 0</v>
      </c>
      <c r="S318" s="28" t="str">
        <f>CONCATENATE(SUM($P$6:$P318)," / ",SUM($P$6:$P$370))</f>
        <v>30850 / 30850</v>
      </c>
      <c r="T318" s="18"/>
      <c r="U318" s="18"/>
      <c r="V318" s="21"/>
    </row>
    <row r="319" spans="1:22" ht="13" thickBot="1">
      <c r="A319" s="18"/>
      <c r="B319" s="238">
        <f t="shared" si="94"/>
        <v>42353</v>
      </c>
      <c r="C319" s="212">
        <f t="shared" si="93"/>
        <v>51</v>
      </c>
      <c r="D319" s="212">
        <f t="shared" si="95"/>
        <v>12</v>
      </c>
      <c r="E319" s="212">
        <v>0</v>
      </c>
      <c r="F319" s="213"/>
      <c r="G319" s="225"/>
      <c r="H319" s="212" t="str">
        <f>CONCATENATE(SUMIF($C$6:$C319,C319,$E$6:$E$370)," / ",SUMIF($C$6:$C$370,C319,$E$6:$E$370))</f>
        <v>10 / 54</v>
      </c>
      <c r="I319" s="212" t="str">
        <f>CONCATENATE(SUMIF($D$6:$D319,D319,$E$6:$E$370)," / ",SUMIF($D$6:$D$370,D319,$E$6:$E$370))</f>
        <v>124 / 286</v>
      </c>
      <c r="J319" s="212" t="str">
        <f>CONCATENATE(SUM($E$6:$E319)," / ",SUM($E$6:$E$370))</f>
        <v>2109 / 2271</v>
      </c>
      <c r="K319" s="214"/>
      <c r="L319" s="28" t="str">
        <f>CONCATENATE(SUMIF($C$6:$C319,C319,$G$6:$G$370)," / ",SUMIF($C$6:$C$370,C319,$G$6:$G$370))</f>
        <v>0 / 87</v>
      </c>
      <c r="M319" s="28" t="str">
        <f>CONCATENATE(SUMIF($D$6:$D319,D319,$G$6:$G$370)," / ",SUMIF($D$6:$D$370,D319,$G$6:$G$370))</f>
        <v>57 / 218</v>
      </c>
      <c r="N319" s="28" t="str">
        <f>CONCATENATE(SUM($G$6:$G319)," / ",SUM($G$6:$G$370))</f>
        <v>2083,5 / 2244,5</v>
      </c>
      <c r="O319" s="24"/>
      <c r="P319" s="224">
        <v>0</v>
      </c>
      <c r="Q319" s="28" t="str">
        <f>CONCATENATE(SUMIF($C$6:$C319,C319,$P$6:$P$370)," / ",SUMIF($C$6:$C$370,C319,$P$6:$P$370))</f>
        <v>0 / 0</v>
      </c>
      <c r="R319" s="28" t="str">
        <f>CONCATENATE(SUMIF($D$6:$D319,$D319,$P$6:$P$370)," / ",SUMIF($D$6:$D$370,$D319,$P$6:$P$370))</f>
        <v>0 / 0</v>
      </c>
      <c r="S319" s="28" t="str">
        <f>CONCATENATE(SUM($P$6:$P319)," / ",SUM($P$6:$P$370))</f>
        <v>30850 / 30850</v>
      </c>
      <c r="T319" s="18"/>
      <c r="U319" s="18"/>
      <c r="V319" s="21"/>
    </row>
    <row r="320" spans="1:22" ht="13" thickBot="1">
      <c r="A320" s="18"/>
      <c r="B320" s="238">
        <f t="shared" si="94"/>
        <v>42354</v>
      </c>
      <c r="C320" s="212">
        <f t="shared" si="93"/>
        <v>51</v>
      </c>
      <c r="D320" s="212">
        <f t="shared" si="95"/>
        <v>12</v>
      </c>
      <c r="E320" s="212">
        <v>14</v>
      </c>
      <c r="F320" s="213" t="s">
        <v>639</v>
      </c>
      <c r="G320" s="225"/>
      <c r="H320" s="212" t="str">
        <f>CONCATENATE(SUMIF($C$6:$C320,C320,$E$6:$E$370)," / ",SUMIF($C$6:$C$370,C320,$E$6:$E$370))</f>
        <v>24 / 54</v>
      </c>
      <c r="I320" s="212" t="str">
        <f>CONCATENATE(SUMIF($D$6:$D320,D320,$E$6:$E$370)," / ",SUMIF($D$6:$D$370,D320,$E$6:$E$370))</f>
        <v>138 / 286</v>
      </c>
      <c r="J320" s="212" t="str">
        <f>CONCATENATE(SUM($E$6:$E320)," / ",SUM($E$6:$E$370))</f>
        <v>2123 / 2271</v>
      </c>
      <c r="K320" s="214" t="s">
        <v>634</v>
      </c>
      <c r="L320" s="28" t="str">
        <f>CONCATENATE(SUMIF($C$6:$C320,C320,$G$6:$G$370)," / ",SUMIF($C$6:$C$370,C320,$G$6:$G$370))</f>
        <v>0 / 87</v>
      </c>
      <c r="M320" s="28" t="str">
        <f>CONCATENATE(SUMIF($D$6:$D320,D320,$G$6:$G$370)," / ",SUMIF($D$6:$D$370,D320,$G$6:$G$370))</f>
        <v>57 / 218</v>
      </c>
      <c r="N320" s="28" t="str">
        <f>CONCATENATE(SUM($G$6:$G320)," / ",SUM($G$6:$G$370))</f>
        <v>2083,5 / 2244,5</v>
      </c>
      <c r="O320" s="24"/>
      <c r="P320" s="224">
        <v>0</v>
      </c>
      <c r="Q320" s="28" t="str">
        <f>CONCATENATE(SUMIF($C$6:$C320,C320,$P$6:$P$370)," / ",SUMIF($C$6:$C$370,C320,$P$6:$P$370))</f>
        <v>0 / 0</v>
      </c>
      <c r="R320" s="28" t="str">
        <f>CONCATENATE(SUMIF($D$6:$D320,$D320,$P$6:$P$370)," / ",SUMIF($D$6:$D$370,$D320,$P$6:$P$370))</f>
        <v>0 / 0</v>
      </c>
      <c r="S320" s="28" t="str">
        <f>CONCATENATE(SUM($P$6:$P320)," / ",SUM($P$6:$P$370))</f>
        <v>30850 / 30850</v>
      </c>
      <c r="T320" s="18"/>
      <c r="U320" s="18"/>
      <c r="V320" s="21"/>
    </row>
    <row r="321" spans="1:22" ht="13" thickBot="1">
      <c r="A321" s="18"/>
      <c r="B321" s="238">
        <f t="shared" si="94"/>
        <v>42355</v>
      </c>
      <c r="C321" s="212">
        <f t="shared" si="93"/>
        <v>51</v>
      </c>
      <c r="D321" s="212">
        <f t="shared" si="95"/>
        <v>12</v>
      </c>
      <c r="E321" s="212">
        <v>8</v>
      </c>
      <c r="F321" s="213" t="s">
        <v>642</v>
      </c>
      <c r="G321" s="225">
        <v>30</v>
      </c>
      <c r="H321" s="212" t="str">
        <f>CONCATENATE(SUMIF($C$6:$C321,C321,$E$6:$E$370)," / ",SUMIF($C$6:$C$370,C321,$E$6:$E$370))</f>
        <v>32 / 54</v>
      </c>
      <c r="I321" s="212" t="str">
        <f>CONCATENATE(SUMIF($D$6:$D321,D321,$E$6:$E$370)," / ",SUMIF($D$6:$D$370,D321,$E$6:$E$370))</f>
        <v>146 / 286</v>
      </c>
      <c r="J321" s="212" t="str">
        <f>CONCATENATE(SUM($E$6:$E321)," / ",SUM($E$6:$E$370))</f>
        <v>2131 / 2271</v>
      </c>
      <c r="K321" s="214" t="s">
        <v>634</v>
      </c>
      <c r="L321" s="28" t="str">
        <f>CONCATENATE(SUMIF($C$6:$C321,C321,$G$6:$G$370)," / ",SUMIF($C$6:$C$370,C321,$G$6:$G$370))</f>
        <v>30 / 87</v>
      </c>
      <c r="M321" s="28" t="str">
        <f>CONCATENATE(SUMIF($D$6:$D321,D321,$G$6:$G$370)," / ",SUMIF($D$6:$D$370,D321,$G$6:$G$370))</f>
        <v>87 / 218</v>
      </c>
      <c r="N321" s="28" t="str">
        <f>CONCATENATE(SUM($G$6:$G321)," / ",SUM($G$6:$G$370))</f>
        <v>2113,5 / 2244,5</v>
      </c>
      <c r="O321" s="24" t="s">
        <v>489</v>
      </c>
      <c r="P321" s="224">
        <v>0</v>
      </c>
      <c r="Q321" s="28" t="str">
        <f>CONCATENATE(SUMIF($C$6:$C321,C321,$P$6:$P$370)," / ",SUMIF($C$6:$C$370,C321,$P$6:$P$370))</f>
        <v>0 / 0</v>
      </c>
      <c r="R321" s="28" t="str">
        <f>CONCATENATE(SUMIF($D$6:$D321,$D321,$P$6:$P$370)," / ",SUMIF($D$6:$D$370,$D321,$P$6:$P$370))</f>
        <v>0 / 0</v>
      </c>
      <c r="S321" s="28" t="str">
        <f>CONCATENATE(SUM($P$6:$P321)," / ",SUM($P$6:$P$370))</f>
        <v>30850 / 30850</v>
      </c>
      <c r="T321" s="18"/>
      <c r="U321" s="18"/>
      <c r="V321" s="21"/>
    </row>
    <row r="322" spans="1:22" ht="13" thickBot="1">
      <c r="A322" s="18"/>
      <c r="B322" s="238">
        <f t="shared" si="94"/>
        <v>42356</v>
      </c>
      <c r="C322" s="212">
        <f t="shared" si="93"/>
        <v>51</v>
      </c>
      <c r="D322" s="212">
        <f t="shared" si="95"/>
        <v>12</v>
      </c>
      <c r="E322" s="212">
        <v>6</v>
      </c>
      <c r="F322" s="213" t="s">
        <v>643</v>
      </c>
      <c r="G322" s="225">
        <v>37</v>
      </c>
      <c r="H322" s="212" t="str">
        <f>CONCATENATE(SUMIF($C$6:$C322,C322,$E$6:$E$370)," / ",SUMIF($C$6:$C$370,C322,$E$6:$E$370))</f>
        <v>38 / 54</v>
      </c>
      <c r="I322" s="212" t="str">
        <f>CONCATENATE(SUMIF($D$6:$D322,D322,$E$6:$E$370)," / ",SUMIF($D$6:$D$370,D322,$E$6:$E$370))</f>
        <v>152 / 286</v>
      </c>
      <c r="J322" s="212" t="str">
        <f>CONCATENATE(SUM($E$6:$E322)," / ",SUM($E$6:$E$370))</f>
        <v>2137 / 2271</v>
      </c>
      <c r="K322" s="214" t="s">
        <v>576</v>
      </c>
      <c r="L322" s="28" t="str">
        <f>CONCATENATE(SUMIF($C$6:$C322,C322,$G$6:$G$370)," / ",SUMIF($C$6:$C$370,C322,$G$6:$G$370))</f>
        <v>67 / 87</v>
      </c>
      <c r="M322" s="28" t="str">
        <f>CONCATENATE(SUMIF($D$6:$D322,D322,$G$6:$G$370)," / ",SUMIF($D$6:$D$370,D322,$G$6:$G$370))</f>
        <v>124 / 218</v>
      </c>
      <c r="N322" s="28" t="str">
        <f>CONCATENATE(SUM($G$6:$G322)," / ",SUM($G$6:$G$370))</f>
        <v>2150,5 / 2244,5</v>
      </c>
      <c r="O322" s="24" t="s">
        <v>489</v>
      </c>
      <c r="P322" s="224">
        <v>0</v>
      </c>
      <c r="Q322" s="28" t="str">
        <f>CONCATENATE(SUMIF($C$6:$C322,C322,$P$6:$P$370)," / ",SUMIF($C$6:$C$370,C322,$P$6:$P$370))</f>
        <v>0 / 0</v>
      </c>
      <c r="R322" s="28" t="str">
        <f>CONCATENATE(SUMIF($D$6:$D322,$D322,$P$6:$P$370)," / ",SUMIF($D$6:$D$370,$D322,$P$6:$P$370))</f>
        <v>0 / 0</v>
      </c>
      <c r="S322" s="28" t="str">
        <f>CONCATENATE(SUM($P$6:$P322)," / ",SUM($P$6:$P$370))</f>
        <v>30850 / 30850</v>
      </c>
      <c r="T322" s="18"/>
      <c r="U322" s="18"/>
      <c r="V322" s="21"/>
    </row>
    <row r="323" spans="1:22" ht="13" thickBot="1">
      <c r="A323" s="18"/>
      <c r="B323" s="238">
        <f t="shared" si="94"/>
        <v>42357</v>
      </c>
      <c r="C323" s="212">
        <f t="shared" si="93"/>
        <v>51</v>
      </c>
      <c r="D323" s="212">
        <f t="shared" si="95"/>
        <v>12</v>
      </c>
      <c r="E323" s="212">
        <v>16</v>
      </c>
      <c r="F323" s="213" t="s">
        <v>675</v>
      </c>
      <c r="G323" s="225">
        <v>20</v>
      </c>
      <c r="H323" s="212" t="str">
        <f>CONCATENATE(SUMIF($C$6:$C323,C323,$E$6:$E$370)," / ",SUMIF($C$6:$C$370,C323,$E$6:$E$370))</f>
        <v>54 / 54</v>
      </c>
      <c r="I323" s="212" t="str">
        <f>CONCATENATE(SUMIF($D$6:$D323,D323,$E$6:$E$370)," / ",SUMIF($D$6:$D$370,D323,$E$6:$E$370))</f>
        <v>168 / 286</v>
      </c>
      <c r="J323" s="212" t="str">
        <f>CONCATENATE(SUM($E$6:$E323)," / ",SUM($E$6:$E$370))</f>
        <v>2153 / 2271</v>
      </c>
      <c r="K323" s="214" t="s">
        <v>634</v>
      </c>
      <c r="L323" s="28" t="str">
        <f>CONCATENATE(SUMIF($C$6:$C323,C323,$G$6:$G$370)," / ",SUMIF($C$6:$C$370,C323,$G$6:$G$370))</f>
        <v>87 / 87</v>
      </c>
      <c r="M323" s="28" t="str">
        <f>CONCATENATE(SUMIF($D$6:$D323,D323,$G$6:$G$370)," / ",SUMIF($D$6:$D$370,D323,$G$6:$G$370))</f>
        <v>144 / 218</v>
      </c>
      <c r="N323" s="28" t="str">
        <f>CONCATENATE(SUM($G$6:$G323)," / ",SUM($G$6:$G$370))</f>
        <v>2170,5 / 2244,5</v>
      </c>
      <c r="O323" s="24" t="s">
        <v>489</v>
      </c>
      <c r="P323" s="224">
        <v>0</v>
      </c>
      <c r="Q323" s="28" t="str">
        <f>CONCATENATE(SUMIF($C$6:$C323,C323,$P$6:$P$370)," / ",SUMIF($C$6:$C$370,C323,$P$6:$P$370))</f>
        <v>0 / 0</v>
      </c>
      <c r="R323" s="28" t="str">
        <f>CONCATENATE(SUMIF($D$6:$D323,$D323,$P$6:$P$370)," / ",SUMIF($D$6:$D$370,$D323,$P$6:$P$370))</f>
        <v>0 / 0</v>
      </c>
      <c r="S323" s="28" t="str">
        <f>CONCATENATE(SUM($P$6:$P323)," / ",SUM($P$6:$P$370))</f>
        <v>30850 / 30850</v>
      </c>
      <c r="T323" s="18"/>
      <c r="U323" s="18"/>
      <c r="V323" s="21"/>
    </row>
    <row r="324" spans="1:22" ht="13" thickBot="1">
      <c r="A324" s="18"/>
      <c r="B324" s="238">
        <f t="shared" si="94"/>
        <v>42358</v>
      </c>
      <c r="C324" s="212">
        <f t="shared" si="93"/>
        <v>52</v>
      </c>
      <c r="D324" s="212">
        <f t="shared" si="95"/>
        <v>12</v>
      </c>
      <c r="E324" s="212">
        <v>57</v>
      </c>
      <c r="F324" s="213" t="s">
        <v>676</v>
      </c>
      <c r="G324" s="225"/>
      <c r="H324" s="212" t="str">
        <f>CONCATENATE(SUMIF($C$6:$C324,C324,$E$6:$E$370)," / ",SUMIF($C$6:$C$370,C324,$E$6:$E$370))</f>
        <v>57 / 103</v>
      </c>
      <c r="I324" s="212" t="str">
        <f>CONCATENATE(SUMIF($D$6:$D324,D324,$E$6:$E$370)," / ",SUMIF($D$6:$D$370,D324,$E$6:$E$370))</f>
        <v>225 / 286</v>
      </c>
      <c r="J324" s="212" t="str">
        <f>CONCATENATE(SUM($E$6:$E324)," / ",SUM($E$6:$E$370))</f>
        <v>2210 / 2271</v>
      </c>
      <c r="K324" s="214"/>
      <c r="L324" s="28" t="str">
        <f>CONCATENATE(SUMIF($C$6:$C324,C324,$G$6:$G$370)," / ",SUMIF($C$6:$C$370,C324,$G$6:$G$370))</f>
        <v>0 / 36</v>
      </c>
      <c r="M324" s="28" t="str">
        <f>CONCATENATE(SUMIF($D$6:$D324,D324,$G$6:$G$370)," / ",SUMIF($D$6:$D$370,D324,$G$6:$G$370))</f>
        <v>144 / 218</v>
      </c>
      <c r="N324" s="28" t="str">
        <f>CONCATENATE(SUM($G$6:$G324)," / ",SUM($G$6:$G$370))</f>
        <v>2170,5 / 2244,5</v>
      </c>
      <c r="O324" s="24" t="s">
        <v>489</v>
      </c>
      <c r="P324" s="224">
        <v>0</v>
      </c>
      <c r="Q324" s="28" t="str">
        <f>CONCATENATE(SUMIF($C$6:$C324,C324,$P$6:$P$370)," / ",SUMIF($C$6:$C$370,C324,$P$6:$P$370))</f>
        <v>0 / 0</v>
      </c>
      <c r="R324" s="28" t="str">
        <f>CONCATENATE(SUMIF($D$6:$D324,$D324,$P$6:$P$370)," / ",SUMIF($D$6:$D$370,$D324,$P$6:$P$370))</f>
        <v>0 / 0</v>
      </c>
      <c r="S324" s="28" t="str">
        <f>CONCATENATE(SUM($P$6:$P324)," / ",SUM($P$6:$P$370))</f>
        <v>30850 / 30850</v>
      </c>
      <c r="T324" s="18"/>
      <c r="U324" s="18"/>
      <c r="V324" s="21"/>
    </row>
    <row r="325" spans="1:22" ht="13" thickBot="1">
      <c r="A325" s="18"/>
      <c r="B325" s="238">
        <f t="shared" si="94"/>
        <v>42359</v>
      </c>
      <c r="C325" s="212">
        <f t="shared" si="93"/>
        <v>52</v>
      </c>
      <c r="D325" s="212">
        <f t="shared" si="95"/>
        <v>12</v>
      </c>
      <c r="E325" s="212">
        <v>0</v>
      </c>
      <c r="F325" s="213"/>
      <c r="G325" s="225"/>
      <c r="H325" s="212" t="str">
        <f>CONCATENATE(SUMIF($C$6:$C325,C325,$E$6:$E$370)," / ",SUMIF($C$6:$C$370,C325,$E$6:$E$370))</f>
        <v>57 / 103</v>
      </c>
      <c r="I325" s="212" t="str">
        <f>CONCATENATE(SUMIF($D$6:$D325,D325,$E$6:$E$370)," / ",SUMIF($D$6:$D$370,D325,$E$6:$E$370))</f>
        <v>225 / 286</v>
      </c>
      <c r="J325" s="212" t="str">
        <f>CONCATENATE(SUM($E$6:$E325)," / ",SUM($E$6:$E$370))</f>
        <v>2210 / 2271</v>
      </c>
      <c r="K325" s="214"/>
      <c r="L325" s="28" t="str">
        <f>CONCATENATE(SUMIF($C$6:$C325,C325,$G$6:$G$370)," / ",SUMIF($C$6:$C$370,C325,$G$6:$G$370))</f>
        <v>0 / 36</v>
      </c>
      <c r="M325" s="28" t="str">
        <f>CONCATENATE(SUMIF($D$6:$D325,D325,$G$6:$G$370)," / ",SUMIF($D$6:$D$370,D325,$G$6:$G$370))</f>
        <v>144 / 218</v>
      </c>
      <c r="N325" s="28" t="str">
        <f>CONCATENATE(SUM($G$6:$G325)," / ",SUM($G$6:$G$370))</f>
        <v>2170,5 / 2244,5</v>
      </c>
      <c r="O325" s="24"/>
      <c r="P325" s="224">
        <v>0</v>
      </c>
      <c r="Q325" s="28" t="str">
        <f>CONCATENATE(SUMIF($C$6:$C325,C325,$P$6:$P$370)," / ",SUMIF($C$6:$C$370,C325,$P$6:$P$370))</f>
        <v>0 / 0</v>
      </c>
      <c r="R325" s="28" t="str">
        <f>CONCATENATE(SUMIF($D$6:$D325,$D325,$P$6:$P$370)," / ",SUMIF($D$6:$D$370,$D325,$P$6:$P$370))</f>
        <v>0 / 0</v>
      </c>
      <c r="S325" s="28" t="str">
        <f>CONCATENATE(SUM($P$6:$P325)," / ",SUM($P$6:$P$370))</f>
        <v>30850 / 30850</v>
      </c>
      <c r="T325" s="18"/>
      <c r="U325" s="18"/>
      <c r="V325" s="21"/>
    </row>
    <row r="326" spans="1:22" ht="13" thickBot="1">
      <c r="A326" s="18"/>
      <c r="B326" s="238">
        <f t="shared" si="94"/>
        <v>42360</v>
      </c>
      <c r="C326" s="212">
        <f t="shared" si="93"/>
        <v>52</v>
      </c>
      <c r="D326" s="212">
        <f t="shared" si="95"/>
        <v>12</v>
      </c>
      <c r="E326" s="212">
        <v>20</v>
      </c>
      <c r="F326" s="213" t="s">
        <v>680</v>
      </c>
      <c r="G326" s="225">
        <v>36</v>
      </c>
      <c r="H326" s="212" t="str">
        <f>CONCATENATE(SUMIF($C$6:$C326,C326,$E$6:$E$370)," / ",SUMIF($C$6:$C$370,C326,$E$6:$E$370))</f>
        <v>77 / 103</v>
      </c>
      <c r="I326" s="212" t="str">
        <f>CONCATENATE(SUMIF($D$6:$D326,D326,$E$6:$E$370)," / ",SUMIF($D$6:$D$370,D326,$E$6:$E$370))</f>
        <v>245 / 286</v>
      </c>
      <c r="J326" s="212" t="str">
        <f>CONCATENATE(SUM($E$6:$E326)," / ",SUM($E$6:$E$370))</f>
        <v>2230 / 2271</v>
      </c>
      <c r="K326" s="214" t="s">
        <v>576</v>
      </c>
      <c r="L326" s="28" t="str">
        <f>CONCATENATE(SUMIF($C$6:$C326,C326,$G$6:$G$370)," / ",SUMIF($C$6:$C$370,C326,$G$6:$G$370))</f>
        <v>36 / 36</v>
      </c>
      <c r="M326" s="28" t="str">
        <f>CONCATENATE(SUMIF($D$6:$D326,D326,$G$6:$G$370)," / ",SUMIF($D$6:$D$370,D326,$G$6:$G$370))</f>
        <v>180 / 218</v>
      </c>
      <c r="N326" s="28" t="str">
        <f>CONCATENATE(SUM($G$6:$G326)," / ",SUM($G$6:$G$370))</f>
        <v>2206,5 / 2244,5</v>
      </c>
      <c r="O326" s="24" t="s">
        <v>489</v>
      </c>
      <c r="P326" s="224">
        <v>0</v>
      </c>
      <c r="Q326" s="28" t="str">
        <f>CONCATENATE(SUMIF($C$6:$C326,C326,$P$6:$P$370)," / ",SUMIF($C$6:$C$370,C326,$P$6:$P$370))</f>
        <v>0 / 0</v>
      </c>
      <c r="R326" s="28" t="str">
        <f>CONCATENATE(SUMIF($D$6:$D326,$D326,$P$6:$P$370)," / ",SUMIF($D$6:$D$370,$D326,$P$6:$P$370))</f>
        <v>0 / 0</v>
      </c>
      <c r="S326" s="28" t="str">
        <f>CONCATENATE(SUM($P$6:$P326)," / ",SUM($P$6:$P$370))</f>
        <v>30850 / 30850</v>
      </c>
      <c r="T326" s="18"/>
      <c r="U326" s="18"/>
      <c r="V326" s="21"/>
    </row>
    <row r="327" spans="1:22" ht="13" thickBot="1">
      <c r="A327" s="18"/>
      <c r="B327" s="238">
        <f t="shared" si="94"/>
        <v>42361</v>
      </c>
      <c r="C327" s="212">
        <f t="shared" si="93"/>
        <v>52</v>
      </c>
      <c r="D327" s="212">
        <f t="shared" si="95"/>
        <v>12</v>
      </c>
      <c r="E327" s="212">
        <v>0</v>
      </c>
      <c r="F327" s="213" t="s">
        <v>681</v>
      </c>
      <c r="G327" s="225"/>
      <c r="H327" s="212" t="str">
        <f>CONCATENATE(SUMIF($C$6:$C327,C327,$E$6:$E$370)," / ",SUMIF($C$6:$C$370,C327,$E$6:$E$370))</f>
        <v>77 / 103</v>
      </c>
      <c r="I327" s="212" t="str">
        <f>CONCATENATE(SUMIF($D$6:$D327,D327,$E$6:$E$370)," / ",SUMIF($D$6:$D$370,D327,$E$6:$E$370))</f>
        <v>245 / 286</v>
      </c>
      <c r="J327" s="212" t="str">
        <f>CONCATENATE(SUM($E$6:$E327)," / ",SUM($E$6:$E$370))</f>
        <v>2230 / 2271</v>
      </c>
      <c r="K327" s="214"/>
      <c r="L327" s="28" t="str">
        <f>CONCATENATE(SUMIF($C$6:$C327,C327,$G$6:$G$370)," / ",SUMIF($C$6:$C$370,C327,$G$6:$G$370))</f>
        <v>36 / 36</v>
      </c>
      <c r="M327" s="28" t="str">
        <f>CONCATENATE(SUMIF($D$6:$D327,D327,$G$6:$G$370)," / ",SUMIF($D$6:$D$370,D327,$G$6:$G$370))</f>
        <v>180 / 218</v>
      </c>
      <c r="N327" s="28" t="str">
        <f>CONCATENATE(SUM($G$6:$G327)," / ",SUM($G$6:$G$370))</f>
        <v>2206,5 / 2244,5</v>
      </c>
      <c r="O327" s="24"/>
      <c r="P327" s="224">
        <v>0</v>
      </c>
      <c r="Q327" s="28" t="str">
        <f>CONCATENATE(SUMIF($C$6:$C327,C327,$P$6:$P$370)," / ",SUMIF($C$6:$C$370,C327,$P$6:$P$370))</f>
        <v>0 / 0</v>
      </c>
      <c r="R327" s="28" t="str">
        <f>CONCATENATE(SUMIF($D$6:$D327,$D327,$P$6:$P$370)," / ",SUMIF($D$6:$D$370,$D327,$P$6:$P$370))</f>
        <v>0 / 0</v>
      </c>
      <c r="S327" s="28" t="str">
        <f>CONCATENATE(SUM($P$6:$P327)," / ",SUM($P$6:$P$370))</f>
        <v>30850 / 30850</v>
      </c>
      <c r="T327" s="18"/>
      <c r="U327" s="18"/>
      <c r="V327" s="21"/>
    </row>
    <row r="328" spans="1:22" ht="13" thickBot="1">
      <c r="A328" s="18"/>
      <c r="B328" s="238">
        <f t="shared" si="94"/>
        <v>42362</v>
      </c>
      <c r="C328" s="212">
        <f t="shared" si="93"/>
        <v>52</v>
      </c>
      <c r="D328" s="212">
        <f t="shared" si="95"/>
        <v>12</v>
      </c>
      <c r="E328" s="212">
        <v>6</v>
      </c>
      <c r="F328" s="213" t="s">
        <v>682</v>
      </c>
      <c r="G328" s="225"/>
      <c r="H328" s="212" t="str">
        <f>CONCATENATE(SUMIF($C$6:$C328,C328,$E$6:$E$370)," / ",SUMIF($C$6:$C$370,C328,$E$6:$E$370))</f>
        <v>83 / 103</v>
      </c>
      <c r="I328" s="212" t="str">
        <f>CONCATENATE(SUMIF($D$6:$D328,D328,$E$6:$E$370)," / ",SUMIF($D$6:$D$370,D328,$E$6:$E$370))</f>
        <v>251 / 286</v>
      </c>
      <c r="J328" s="212" t="str">
        <f>CONCATENATE(SUM($E$6:$E328)," / ",SUM($E$6:$E$370))</f>
        <v>2236 / 2271</v>
      </c>
      <c r="K328" s="214" t="s">
        <v>576</v>
      </c>
      <c r="L328" s="28" t="str">
        <f>CONCATENATE(SUMIF($C$6:$C328,C328,$G$6:$G$370)," / ",SUMIF($C$6:$C$370,C328,$G$6:$G$370))</f>
        <v>36 / 36</v>
      </c>
      <c r="M328" s="28" t="str">
        <f>CONCATENATE(SUMIF($D$6:$D328,D328,$G$6:$G$370)," / ",SUMIF($D$6:$D$370,D328,$G$6:$G$370))</f>
        <v>180 / 218</v>
      </c>
      <c r="N328" s="28" t="str">
        <f>CONCATENATE(SUM($G$6:$G328)," / ",SUM($G$6:$G$370))</f>
        <v>2206,5 / 2244,5</v>
      </c>
      <c r="O328" s="24"/>
      <c r="P328" s="224">
        <v>0</v>
      </c>
      <c r="Q328" s="28" t="str">
        <f>CONCATENATE(SUMIF($C$6:$C328,C328,$P$6:$P$370)," / ",SUMIF($C$6:$C$370,C328,$P$6:$P$370))</f>
        <v>0 / 0</v>
      </c>
      <c r="R328" s="28" t="str">
        <f>CONCATENATE(SUMIF($D$6:$D328,$D328,$P$6:$P$370)," / ",SUMIF($D$6:$D$370,$D328,$P$6:$P$370))</f>
        <v>0 / 0</v>
      </c>
      <c r="S328" s="28" t="str">
        <f>CONCATENATE(SUM($P$6:$P328)," / ",SUM($P$6:$P$370))</f>
        <v>30850 / 30850</v>
      </c>
      <c r="T328" s="18"/>
      <c r="U328" s="18"/>
      <c r="V328" s="21"/>
    </row>
    <row r="329" spans="1:22" ht="13" thickBot="1">
      <c r="A329" s="18"/>
      <c r="B329" s="238">
        <f t="shared" si="94"/>
        <v>42363</v>
      </c>
      <c r="C329" s="212">
        <f t="shared" si="93"/>
        <v>52</v>
      </c>
      <c r="D329" s="212">
        <f t="shared" si="95"/>
        <v>12</v>
      </c>
      <c r="E329" s="212">
        <v>10</v>
      </c>
      <c r="F329" s="213" t="s">
        <v>480</v>
      </c>
      <c r="G329" s="225"/>
      <c r="H329" s="212" t="str">
        <f>CONCATENATE(SUMIF($C$6:$C329,C329,$E$6:$E$370)," / ",SUMIF($C$6:$C$370,C329,$E$6:$E$370))</f>
        <v>93 / 103</v>
      </c>
      <c r="I329" s="212" t="str">
        <f>CONCATENATE(SUMIF($D$6:$D329,D329,$E$6:$E$370)," / ",SUMIF($D$6:$D$370,D329,$E$6:$E$370))</f>
        <v>261 / 286</v>
      </c>
      <c r="J329" s="212" t="str">
        <f>CONCATENATE(SUM($E$6:$E329)," / ",SUM($E$6:$E$370))</f>
        <v>2246 / 2271</v>
      </c>
      <c r="K329" s="214" t="s">
        <v>576</v>
      </c>
      <c r="L329" s="28" t="str">
        <f>CONCATENATE(SUMIF($C$6:$C329,C329,$G$6:$G$370)," / ",SUMIF($C$6:$C$370,C329,$G$6:$G$370))</f>
        <v>36 / 36</v>
      </c>
      <c r="M329" s="28" t="str">
        <f>CONCATENATE(SUMIF($D$6:$D329,D329,$G$6:$G$370)," / ",SUMIF($D$6:$D$370,D329,$G$6:$G$370))</f>
        <v>180 / 218</v>
      </c>
      <c r="N329" s="28" t="str">
        <f>CONCATENATE(SUM($G$6:$G329)," / ",SUM($G$6:$G$370))</f>
        <v>2206,5 / 2244,5</v>
      </c>
      <c r="O329" s="24"/>
      <c r="P329" s="224">
        <v>0</v>
      </c>
      <c r="Q329" s="28" t="str">
        <f>CONCATENATE(SUMIF($C$6:$C329,C329,$P$6:$P$370)," / ",SUMIF($C$6:$C$370,C329,$P$6:$P$370))</f>
        <v>0 / 0</v>
      </c>
      <c r="R329" s="28" t="str">
        <f>CONCATENATE(SUMIF($D$6:$D329,$D329,$P$6:$P$370)," / ",SUMIF($D$6:$D$370,$D329,$P$6:$P$370))</f>
        <v>0 / 0</v>
      </c>
      <c r="S329" s="28" t="str">
        <f>CONCATENATE(SUM($P$6:$P329)," / ",SUM($P$6:$P$370))</f>
        <v>30850 / 30850</v>
      </c>
      <c r="T329" s="18"/>
      <c r="U329" s="18"/>
      <c r="V329" s="21"/>
    </row>
    <row r="330" spans="1:22" ht="13" thickBot="1">
      <c r="A330" s="18"/>
      <c r="B330" s="238">
        <f t="shared" si="94"/>
        <v>42364</v>
      </c>
      <c r="C330" s="212">
        <f t="shared" si="93"/>
        <v>52</v>
      </c>
      <c r="D330" s="212">
        <f t="shared" si="95"/>
        <v>12</v>
      </c>
      <c r="E330" s="212">
        <v>10</v>
      </c>
      <c r="F330" s="213" t="s">
        <v>629</v>
      </c>
      <c r="G330" s="225"/>
      <c r="H330" s="212" t="str">
        <f>CONCATENATE(SUMIF($C$6:$C330,C330,$E$6:$E$370)," / ",SUMIF($C$6:$C$370,C330,$E$6:$E$370))</f>
        <v>103 / 103</v>
      </c>
      <c r="I330" s="212" t="str">
        <f>CONCATENATE(SUMIF($D$6:$D330,D330,$E$6:$E$370)," / ",SUMIF($D$6:$D$370,D330,$E$6:$E$370))</f>
        <v>271 / 286</v>
      </c>
      <c r="J330" s="212" t="str">
        <f>CONCATENATE(SUM($E$6:$E330)," / ",SUM($E$6:$E$370))</f>
        <v>2256 / 2271</v>
      </c>
      <c r="K330" s="214" t="s">
        <v>576</v>
      </c>
      <c r="L330" s="28" t="str">
        <f>CONCATENATE(SUMIF($C$6:$C330,C330,$G$6:$G$370)," / ",SUMIF($C$6:$C$370,C330,$G$6:$G$370))</f>
        <v>36 / 36</v>
      </c>
      <c r="M330" s="28" t="str">
        <f>CONCATENATE(SUMIF($D$6:$D330,D330,$G$6:$G$370)," / ",SUMIF($D$6:$D$370,D330,$G$6:$G$370))</f>
        <v>180 / 218</v>
      </c>
      <c r="N330" s="28" t="str">
        <f>CONCATENATE(SUM($G$6:$G330)," / ",SUM($G$6:$G$370))</f>
        <v>2206,5 / 2244,5</v>
      </c>
      <c r="O330" s="24"/>
      <c r="P330" s="224">
        <v>0</v>
      </c>
      <c r="Q330" s="28" t="str">
        <f>CONCATENATE(SUMIF($C$6:$C330,C330,$P$6:$P$370)," / ",SUMIF($C$6:$C$370,C330,$P$6:$P$370))</f>
        <v>0 / 0</v>
      </c>
      <c r="R330" s="28" t="str">
        <f>CONCATENATE(SUMIF($D$6:$D330,$D330,$P$6:$P$370)," / ",SUMIF($D$6:$D$370,$D330,$P$6:$P$370))</f>
        <v>0 / 0</v>
      </c>
      <c r="S330" s="28" t="str">
        <f>CONCATENATE(SUM($P$6:$P330)," / ",SUM($P$6:$P$370))</f>
        <v>30850 / 30850</v>
      </c>
      <c r="T330" s="18"/>
      <c r="U330" s="18"/>
      <c r="V330" s="21"/>
    </row>
    <row r="331" spans="1:22" ht="13" thickBot="1">
      <c r="A331" s="18"/>
      <c r="B331" s="238">
        <f t="shared" si="94"/>
        <v>42365</v>
      </c>
      <c r="C331" s="212">
        <f t="shared" si="93"/>
        <v>53</v>
      </c>
      <c r="D331" s="212">
        <f t="shared" si="95"/>
        <v>12</v>
      </c>
      <c r="E331" s="212">
        <v>7</v>
      </c>
      <c r="F331" s="213" t="s">
        <v>683</v>
      </c>
      <c r="G331" s="225">
        <v>38</v>
      </c>
      <c r="H331" s="212" t="str">
        <f>CONCATENATE(SUMIF($C$6:$C331,C331,$E$6:$E$370)," / ",SUMIF($C$6:$C$370,C331,$E$6:$E$370))</f>
        <v>7 / 15</v>
      </c>
      <c r="I331" s="212" t="str">
        <f>CONCATENATE(SUMIF($D$6:$D331,D331,$E$6:$E$370)," / ",SUMIF($D$6:$D$370,D331,$E$6:$E$370))</f>
        <v>278 / 286</v>
      </c>
      <c r="J331" s="212" t="str">
        <f>CONCATENATE(SUM($E$6:$E331)," / ",SUM($E$6:$E$370))</f>
        <v>2263 / 2271</v>
      </c>
      <c r="K331" s="214" t="s">
        <v>576</v>
      </c>
      <c r="L331" s="28" t="str">
        <f>CONCATENATE(SUMIF($C$6:$C331,C331,$G$6:$G$370)," / ",SUMIF($C$6:$C$370,C331,$G$6:$G$370))</f>
        <v>38 / 38</v>
      </c>
      <c r="M331" s="28" t="str">
        <f>CONCATENATE(SUMIF($D$6:$D331,D331,$G$6:$G$370)," / ",SUMIF($D$6:$D$370,D331,$G$6:$G$370))</f>
        <v>218 / 218</v>
      </c>
      <c r="N331" s="28" t="str">
        <f>CONCATENATE(SUM($G$6:$G331)," / ",SUM($G$6:$G$370))</f>
        <v>2244,5 / 2244,5</v>
      </c>
      <c r="O331" s="24"/>
      <c r="P331" s="224">
        <v>0</v>
      </c>
      <c r="Q331" s="28" t="str">
        <f>CONCATENATE(SUMIF($C$6:$C331,C331,$P$6:$P$370)," / ",SUMIF($C$6:$C$370,C331,$P$6:$P$370))</f>
        <v>0 / 0</v>
      </c>
      <c r="R331" s="28" t="str">
        <f>CONCATENATE(SUMIF($D$6:$D331,$D331,$P$6:$P$370)," / ",SUMIF($D$6:$D$370,$D331,$P$6:$P$370))</f>
        <v>0 / 0</v>
      </c>
      <c r="S331" s="28" t="str">
        <f>CONCATENATE(SUM($P$6:$P331)," / ",SUM($P$6:$P$370))</f>
        <v>30850 / 30850</v>
      </c>
      <c r="T331" s="18"/>
      <c r="U331" s="18"/>
      <c r="V331" s="21"/>
    </row>
    <row r="332" spans="1:22" ht="13" thickBot="1">
      <c r="A332" s="18"/>
      <c r="B332" s="238">
        <f t="shared" si="94"/>
        <v>42366</v>
      </c>
      <c r="C332" s="212">
        <f t="shared" si="93"/>
        <v>53</v>
      </c>
      <c r="D332" s="212">
        <f t="shared" si="95"/>
        <v>12</v>
      </c>
      <c r="E332" s="212">
        <v>8</v>
      </c>
      <c r="F332" s="213" t="s">
        <v>684</v>
      </c>
      <c r="G332" s="225"/>
      <c r="H332" s="212" t="str">
        <f>CONCATENATE(SUMIF($C$6:$C332,C332,$E$6:$E$370)," / ",SUMIF($C$6:$C$370,C332,$E$6:$E$370))</f>
        <v>15 / 15</v>
      </c>
      <c r="I332" s="212" t="str">
        <f>CONCATENATE(SUMIF($D$6:$D332,D332,$E$6:$E$370)," / ",SUMIF($D$6:$D$370,D332,$E$6:$E$370))</f>
        <v>286 / 286</v>
      </c>
      <c r="J332" s="212" t="str">
        <f>CONCATENATE(SUM($E$6:$E332)," / ",SUM($E$6:$E$370))</f>
        <v>2271 / 2271</v>
      </c>
      <c r="K332" s="214" t="s">
        <v>576</v>
      </c>
      <c r="L332" s="28" t="str">
        <f>CONCATENATE(SUMIF($C$6:$C332,C332,$G$6:$G$370)," / ",SUMIF($C$6:$C$370,C332,$G$6:$G$370))</f>
        <v>38 / 38</v>
      </c>
      <c r="M332" s="28" t="str">
        <f>CONCATENATE(SUMIF($D$6:$D332,D332,$G$6:$G$370)," / ",SUMIF($D$6:$D$370,D332,$G$6:$G$370))</f>
        <v>218 / 218</v>
      </c>
      <c r="N332" s="28" t="str">
        <f>CONCATENATE(SUM($G$6:$G332)," / ",SUM($G$6:$G$370))</f>
        <v>2244,5 / 2244,5</v>
      </c>
      <c r="O332" s="24"/>
      <c r="P332" s="224">
        <v>0</v>
      </c>
      <c r="Q332" s="28" t="str">
        <f>CONCATENATE(SUMIF($C$6:$C332,C332,$P$6:$P$370)," / ",SUMIF($C$6:$C$370,C332,$P$6:$P$370))</f>
        <v>0 / 0</v>
      </c>
      <c r="R332" s="28" t="str">
        <f>CONCATENATE(SUMIF($D$6:$D332,$D332,$P$6:$P$370)," / ",SUMIF($D$6:$D$370,$D332,$P$6:$P$370))</f>
        <v>0 / 0</v>
      </c>
      <c r="S332" s="28" t="str">
        <f>CONCATENATE(SUM($P$6:$P332)," / ",SUM($P$6:$P$370))</f>
        <v>30850 / 30850</v>
      </c>
      <c r="T332" s="18"/>
      <c r="U332" s="18"/>
      <c r="V332" s="21"/>
    </row>
    <row r="333" spans="1:22" ht="13" thickBot="1">
      <c r="A333" s="18"/>
      <c r="B333" s="238">
        <f t="shared" si="94"/>
        <v>42367</v>
      </c>
      <c r="C333" s="212">
        <f t="shared" si="93"/>
        <v>53</v>
      </c>
      <c r="D333" s="212">
        <f t="shared" si="95"/>
        <v>12</v>
      </c>
      <c r="E333" s="212">
        <v>0</v>
      </c>
      <c r="F333" s="213"/>
      <c r="G333" s="225"/>
      <c r="H333" s="212" t="str">
        <f>CONCATENATE(SUMIF($C$6:$C333,C333,$E$6:$E$370)," / ",SUMIF($C$6:$C$370,C333,$E$6:$E$370))</f>
        <v>15 / 15</v>
      </c>
      <c r="I333" s="212" t="str">
        <f>CONCATENATE(SUMIF($D$6:$D333,D333,$E$6:$E$370)," / ",SUMIF($D$6:$D$370,D333,$E$6:$E$370))</f>
        <v>286 / 286</v>
      </c>
      <c r="J333" s="212" t="str">
        <f>CONCATENATE(SUM($E$6:$E333)," / ",SUM($E$6:$E$370))</f>
        <v>2271 / 2271</v>
      </c>
      <c r="K333" s="214"/>
      <c r="L333" s="28" t="str">
        <f>CONCATENATE(SUMIF($C$6:$C333,C333,$G$6:$G$370)," / ",SUMIF($C$6:$C$370,C333,$G$6:$G$370))</f>
        <v>38 / 38</v>
      </c>
      <c r="M333" s="28" t="str">
        <f>CONCATENATE(SUMIF($D$6:$D333,D333,$G$6:$G$370)," / ",SUMIF($D$6:$D$370,D333,$G$6:$G$370))</f>
        <v>218 / 218</v>
      </c>
      <c r="N333" s="28" t="str">
        <f>CONCATENATE(SUM($G$6:$G333)," / ",SUM($G$6:$G$370))</f>
        <v>2244,5 / 2244,5</v>
      </c>
      <c r="O333" s="24"/>
      <c r="P333" s="224">
        <v>0</v>
      </c>
      <c r="Q333" s="28" t="str">
        <f>CONCATENATE(SUMIF($C$6:$C333,C333,$P$6:$P$370)," / ",SUMIF($C$6:$C$370,C333,$P$6:$P$370))</f>
        <v>0 / 0</v>
      </c>
      <c r="R333" s="28" t="str">
        <f>CONCATENATE(SUMIF($D$6:$D333,$D333,$P$6:$P$370)," / ",SUMIF($D$6:$D$370,$D333,$P$6:$P$370))</f>
        <v>0 / 0</v>
      </c>
      <c r="S333" s="28" t="str">
        <f>CONCATENATE(SUM($P$6:$P333)," / ",SUM($P$6:$P$370))</f>
        <v>30850 / 30850</v>
      </c>
      <c r="T333" s="18"/>
      <c r="U333" s="18"/>
      <c r="V333" s="21"/>
    </row>
    <row r="334" spans="1:22" ht="13" thickBot="1">
      <c r="A334" s="18"/>
      <c r="B334" s="238">
        <f t="shared" si="94"/>
        <v>42368</v>
      </c>
      <c r="C334" s="212">
        <f t="shared" si="93"/>
        <v>53</v>
      </c>
      <c r="D334" s="212">
        <f t="shared" si="95"/>
        <v>12</v>
      </c>
      <c r="E334" s="212">
        <v>0</v>
      </c>
      <c r="F334" s="213"/>
      <c r="G334" s="225"/>
      <c r="H334" s="212" t="str">
        <f>CONCATENATE(SUMIF($C$6:$C334,C334,$E$6:$E$370)," / ",SUMIF($C$6:$C$370,C334,$E$6:$E$370))</f>
        <v>15 / 15</v>
      </c>
      <c r="I334" s="212" t="str">
        <f>CONCATENATE(SUMIF($D$6:$D334,D334,$E$6:$E$370)," / ",SUMIF($D$6:$D$370,D334,$E$6:$E$370))</f>
        <v>286 / 286</v>
      </c>
      <c r="J334" s="212" t="str">
        <f>CONCATENATE(SUM($E$6:$E334)," / ",SUM($E$6:$E$370))</f>
        <v>2271 / 2271</v>
      </c>
      <c r="K334" s="214"/>
      <c r="L334" s="28" t="str">
        <f>CONCATENATE(SUMIF($C$6:$C334,C334,$G$6:$G$370)," / ",SUMIF($C$6:$C$370,C334,$G$6:$G$370))</f>
        <v>38 / 38</v>
      </c>
      <c r="M334" s="28" t="str">
        <f>CONCATENATE(SUMIF($D$6:$D334,D334,$G$6:$G$370)," / ",SUMIF($D$6:$D$370,D334,$G$6:$G$370))</f>
        <v>218 / 218</v>
      </c>
      <c r="N334" s="28" t="str">
        <f>CONCATENATE(SUM($G$6:$G334)," / ",SUM($G$6:$G$370))</f>
        <v>2244,5 / 2244,5</v>
      </c>
      <c r="O334" s="24"/>
      <c r="P334" s="224">
        <v>0</v>
      </c>
      <c r="Q334" s="28" t="str">
        <f>CONCATENATE(SUMIF($C$6:$C334,C334,$P$6:$P$370)," / ",SUMIF($C$6:$C$370,C334,$P$6:$P$370))</f>
        <v>0 / 0</v>
      </c>
      <c r="R334" s="28" t="str">
        <f>CONCATENATE(SUMIF($D$6:$D334,$D334,$P$6:$P$370)," / ",SUMIF($D$6:$D$370,$D334,$P$6:$P$370))</f>
        <v>0 / 0</v>
      </c>
      <c r="S334" s="28" t="str">
        <f>CONCATENATE(SUM($P$6:$P334)," / ",SUM($P$6:$P$370))</f>
        <v>30850 / 30850</v>
      </c>
      <c r="T334" s="18"/>
      <c r="U334" s="18"/>
      <c r="V334" s="21"/>
    </row>
    <row r="335" spans="1:22" ht="13" thickBot="1">
      <c r="A335" s="18"/>
      <c r="B335" s="238">
        <f t="shared" si="94"/>
        <v>42369</v>
      </c>
      <c r="C335" s="212">
        <f t="shared" si="93"/>
        <v>53</v>
      </c>
      <c r="D335" s="212">
        <f t="shared" si="95"/>
        <v>12</v>
      </c>
      <c r="E335" s="212">
        <v>0</v>
      </c>
      <c r="F335" s="213"/>
      <c r="G335" s="225"/>
      <c r="H335" s="212" t="str">
        <f>CONCATENATE(SUMIF($C$6:$C335,C335,$E$6:$E$370)," / ",SUMIF($C$6:$C$370,C335,$E$6:$E$370))</f>
        <v>15 / 15</v>
      </c>
      <c r="I335" s="212" t="str">
        <f>CONCATENATE(SUMIF($D$6:$D335,D335,$E$6:$E$370)," / ",SUMIF($D$6:$D$370,D335,$E$6:$E$370))</f>
        <v>286 / 286</v>
      </c>
      <c r="J335" s="212" t="str">
        <f>CONCATENATE(SUM($E$6:$E335)," / ",SUM($E$6:$E$370))</f>
        <v>2271 / 2271</v>
      </c>
      <c r="K335" s="214"/>
      <c r="L335" s="28" t="str">
        <f>CONCATENATE(SUMIF($C$6:$C335,C335,$G$6:$G$370)," / ",SUMIF($C$6:$C$370,C335,$G$6:$G$370))</f>
        <v>38 / 38</v>
      </c>
      <c r="M335" s="28" t="str">
        <f>CONCATENATE(SUMIF($D$6:$D335,D335,$G$6:$G$370)," / ",SUMIF($D$6:$D$370,D335,$G$6:$G$370))</f>
        <v>218 / 218</v>
      </c>
      <c r="N335" s="28" t="str">
        <f>CONCATENATE(SUM($G$6:$G335)," / ",SUM($G$6:$G$370))</f>
        <v>2244,5 / 2244,5</v>
      </c>
      <c r="O335" s="24"/>
      <c r="P335" s="224">
        <v>0</v>
      </c>
      <c r="Q335" s="28" t="str">
        <f>CONCATENATE(SUMIF($C$6:$C335,C335,$P$6:$P$370)," / ",SUMIF($C$6:$C$370,C335,$P$6:$P$370))</f>
        <v>0 / 0</v>
      </c>
      <c r="R335" s="28" t="str">
        <f>CONCATENATE(SUMIF($D$6:$D335,$D335,$P$6:$P$370)," / ",SUMIF($D$6:$D$370,$D335,$P$6:$P$370))</f>
        <v>0 / 0</v>
      </c>
      <c r="S335" s="28" t="str">
        <f>CONCATENATE(SUM($P$6:$P335)," / ",SUM($P$6:$P$370))</f>
        <v>30850 / 30850</v>
      </c>
      <c r="T335" s="18"/>
      <c r="U335" s="18"/>
      <c r="V335" s="21"/>
    </row>
    <row r="336" spans="1:22">
      <c r="B336" s="243"/>
      <c r="C336"/>
      <c r="D336"/>
      <c r="V336"/>
    </row>
    <row r="337" spans="2:22">
      <c r="B337" s="243"/>
      <c r="C337"/>
      <c r="D337"/>
      <c r="V337"/>
    </row>
    <row r="338" spans="2:22">
      <c r="B338" s="243"/>
      <c r="C338"/>
      <c r="D338"/>
      <c r="V338"/>
    </row>
    <row r="339" spans="2:22">
      <c r="B339" s="243"/>
      <c r="C339"/>
      <c r="D339"/>
      <c r="V339"/>
    </row>
    <row r="340" spans="2:22">
      <c r="B340" s="243"/>
      <c r="C340"/>
      <c r="D340"/>
      <c r="V340"/>
    </row>
    <row r="341" spans="2:22">
      <c r="B341" s="243"/>
      <c r="C341"/>
      <c r="D341"/>
      <c r="V341"/>
    </row>
    <row r="342" spans="2:22">
      <c r="B342" s="243"/>
      <c r="C342"/>
      <c r="D342"/>
      <c r="V342"/>
    </row>
    <row r="343" spans="2:22">
      <c r="B343" s="243"/>
      <c r="C343"/>
      <c r="D343"/>
      <c r="V343"/>
    </row>
    <row r="344" spans="2:22">
      <c r="B344" s="243"/>
      <c r="C344"/>
      <c r="D344"/>
      <c r="V344"/>
    </row>
    <row r="345" spans="2:22">
      <c r="B345" s="243"/>
      <c r="C345"/>
      <c r="D345"/>
      <c r="V345"/>
    </row>
    <row r="346" spans="2:22">
      <c r="B346" s="243"/>
      <c r="C346"/>
      <c r="D346"/>
      <c r="V346"/>
    </row>
    <row r="347" spans="2:22">
      <c r="B347" s="243"/>
      <c r="C347"/>
      <c r="D347"/>
      <c r="V347"/>
    </row>
    <row r="348" spans="2:22">
      <c r="B348" s="243"/>
      <c r="C348"/>
      <c r="D348"/>
      <c r="V348"/>
    </row>
    <row r="349" spans="2:22">
      <c r="B349" s="243"/>
      <c r="C349"/>
      <c r="D349"/>
      <c r="V349"/>
    </row>
    <row r="350" spans="2:22">
      <c r="B350" s="243"/>
      <c r="C350"/>
      <c r="D350"/>
      <c r="V350"/>
    </row>
    <row r="351" spans="2:22">
      <c r="B351" s="243"/>
      <c r="C351"/>
      <c r="D351"/>
      <c r="V351"/>
    </row>
    <row r="352" spans="2:22">
      <c r="B352" s="243"/>
      <c r="C352"/>
      <c r="D352"/>
      <c r="V352"/>
    </row>
    <row r="353" spans="2:22">
      <c r="B353" s="243"/>
      <c r="C353"/>
      <c r="D353"/>
      <c r="V353"/>
    </row>
    <row r="354" spans="2:22">
      <c r="B354" s="243"/>
      <c r="C354"/>
      <c r="D354"/>
      <c r="V354"/>
    </row>
    <row r="355" spans="2:22">
      <c r="B355" s="243"/>
      <c r="C355"/>
      <c r="D355"/>
      <c r="V355"/>
    </row>
    <row r="356" spans="2:22">
      <c r="B356" s="243"/>
      <c r="C356"/>
      <c r="D356"/>
      <c r="V356"/>
    </row>
    <row r="357" spans="2:22">
      <c r="B357" s="243"/>
      <c r="C357"/>
      <c r="D357"/>
      <c r="V357"/>
    </row>
    <row r="358" spans="2:22">
      <c r="B358" s="243"/>
      <c r="C358"/>
      <c r="D358"/>
      <c r="V358"/>
    </row>
    <row r="359" spans="2:22">
      <c r="B359" s="243"/>
      <c r="C359"/>
      <c r="D359"/>
      <c r="V359"/>
    </row>
    <row r="360" spans="2:22">
      <c r="B360" s="243"/>
      <c r="C360"/>
      <c r="D360"/>
      <c r="V360"/>
    </row>
    <row r="361" spans="2:22">
      <c r="B361" s="243"/>
      <c r="C361"/>
      <c r="D361"/>
      <c r="V361"/>
    </row>
    <row r="362" spans="2:22">
      <c r="B362" s="243"/>
      <c r="C362"/>
      <c r="D362"/>
      <c r="V362"/>
    </row>
    <row r="363" spans="2:22">
      <c r="B363" s="243"/>
      <c r="C363"/>
      <c r="D363"/>
      <c r="V363"/>
    </row>
    <row r="364" spans="2:22">
      <c r="B364" s="243"/>
      <c r="C364"/>
      <c r="D364"/>
      <c r="V364"/>
    </row>
    <row r="365" spans="2:22">
      <c r="B365" s="243"/>
      <c r="C365"/>
      <c r="D365"/>
      <c r="V365"/>
    </row>
    <row r="366" spans="2:22">
      <c r="B366" s="243"/>
      <c r="C366"/>
      <c r="D366"/>
      <c r="V366"/>
    </row>
    <row r="367" spans="2:22">
      <c r="B367" s="243"/>
      <c r="C367"/>
      <c r="D367"/>
      <c r="V367"/>
    </row>
    <row r="368" spans="2:22">
      <c r="B368" s="243"/>
      <c r="C368"/>
      <c r="D368"/>
      <c r="V368"/>
    </row>
    <row r="369" spans="2:22">
      <c r="B369" s="243"/>
      <c r="C369"/>
      <c r="D369"/>
      <c r="V369"/>
    </row>
    <row r="370" spans="2:22">
      <c r="B370" s="243"/>
      <c r="C370"/>
      <c r="D370"/>
      <c r="V370"/>
    </row>
    <row r="371" spans="2:22">
      <c r="B371" s="243"/>
      <c r="C371"/>
      <c r="D371"/>
      <c r="V371"/>
    </row>
    <row r="372" spans="2:22">
      <c r="B372" s="243"/>
      <c r="C372"/>
      <c r="D372"/>
      <c r="V372"/>
    </row>
  </sheetData>
  <mergeCells count="6">
    <mergeCell ref="U2:U5"/>
    <mergeCell ref="T6:V6"/>
    <mergeCell ref="H4:K4"/>
    <mergeCell ref="L4:O4"/>
    <mergeCell ref="B2:S2"/>
    <mergeCell ref="P4:S4"/>
  </mergeCells>
  <dataValidations count="3">
    <dataValidation type="list" allowBlank="1" showInputMessage="1" showErrorMessage="1" sqref="O6:O335">
      <formula1>L_CYCLES</formula1>
    </dataValidation>
    <dataValidation type="list" allowBlank="1" showInputMessage="1" showErrorMessage="1" sqref="K6:K335">
      <formula1>L_CHAUSSURES</formula1>
    </dataValidation>
    <dataValidation type="whole" showDropDown="1" showInputMessage="1" showErrorMessage="1" sqref="P6:P335">
      <formula1>0</formula1>
      <formula2>10000</formula2>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topLeftCell="C1" workbookViewId="0">
      <selection activeCell="K14" sqref="K14"/>
    </sheetView>
  </sheetViews>
  <sheetFormatPr baseColWidth="10" defaultRowHeight="12" x14ac:dyDescent="0"/>
  <cols>
    <col min="1" max="1" width="14.33203125" style="3" customWidth="1"/>
    <col min="2" max="2" width="7.83203125" style="3" bestFit="1" customWidth="1"/>
    <col min="3" max="3" width="7.83203125" style="3" customWidth="1"/>
    <col min="4" max="4" width="30.83203125" style="3" bestFit="1" customWidth="1"/>
    <col min="5" max="6" width="22.5" style="3" customWidth="1"/>
    <col min="7" max="10" width="14" style="3" customWidth="1"/>
    <col min="11" max="11" width="13" style="3" bestFit="1" customWidth="1"/>
    <col min="12" max="16384" width="10.83203125" style="3"/>
  </cols>
  <sheetData>
    <row r="1" spans="2:11" ht="13" thickBot="1"/>
    <row r="2" spans="2:11" ht="23" customHeight="1" thickBot="1">
      <c r="B2" s="398" t="s">
        <v>123</v>
      </c>
      <c r="C2" s="399"/>
      <c r="D2" s="399"/>
      <c r="E2" s="399"/>
      <c r="F2" s="399"/>
      <c r="G2" s="399"/>
      <c r="H2" s="399"/>
      <c r="I2" s="399"/>
      <c r="J2" s="399"/>
      <c r="K2" s="399"/>
    </row>
    <row r="4" spans="2:11" ht="13" thickBot="1"/>
    <row r="5" spans="2:11" ht="13" thickBot="1">
      <c r="B5" s="32" t="s">
        <v>124</v>
      </c>
      <c r="C5" s="33"/>
      <c r="D5" s="425" t="s">
        <v>134</v>
      </c>
      <c r="E5" s="426"/>
      <c r="F5" s="427"/>
      <c r="G5" s="20"/>
      <c r="H5" s="20"/>
      <c r="I5" s="20"/>
      <c r="J5" s="425" t="s">
        <v>127</v>
      </c>
      <c r="K5" s="427"/>
    </row>
    <row r="6" spans="2:11" ht="13" thickBot="1">
      <c r="B6" s="20" t="s">
        <v>124</v>
      </c>
      <c r="C6" s="20" t="s">
        <v>104</v>
      </c>
      <c r="D6" s="20" t="s">
        <v>125</v>
      </c>
      <c r="E6" s="20" t="s">
        <v>126</v>
      </c>
      <c r="F6" s="20" t="s">
        <v>130</v>
      </c>
      <c r="G6" s="20" t="s">
        <v>128</v>
      </c>
      <c r="H6" s="20" t="s">
        <v>129</v>
      </c>
      <c r="I6" s="20" t="s">
        <v>133</v>
      </c>
      <c r="J6" s="20" t="s">
        <v>131</v>
      </c>
      <c r="K6" s="20" t="s">
        <v>132</v>
      </c>
    </row>
    <row r="7" spans="2:11" ht="13" thickBot="1">
      <c r="B7" s="30">
        <v>42014</v>
      </c>
      <c r="C7" s="30" t="str">
        <f>TEXT(B7,"mmmm")</f>
        <v>janvier</v>
      </c>
      <c r="D7" s="27" t="s">
        <v>135</v>
      </c>
      <c r="E7" s="28" t="s">
        <v>92</v>
      </c>
      <c r="F7" s="4" t="s">
        <v>136</v>
      </c>
      <c r="G7" s="4" t="s">
        <v>137</v>
      </c>
      <c r="H7" s="28"/>
      <c r="I7" s="28" t="s">
        <v>140</v>
      </c>
      <c r="J7" s="28"/>
      <c r="K7" s="28" t="s">
        <v>139</v>
      </c>
    </row>
    <row r="8" spans="2:11" ht="13" thickBot="1">
      <c r="B8" s="30">
        <v>42021</v>
      </c>
      <c r="C8" s="30" t="str">
        <f t="shared" ref="C8:C25" si="0">TEXT(B8,"mmmm")</f>
        <v>janvier</v>
      </c>
      <c r="D8" s="27" t="s">
        <v>141</v>
      </c>
      <c r="E8" s="28" t="s">
        <v>92</v>
      </c>
      <c r="F8" s="4" t="s">
        <v>144</v>
      </c>
      <c r="G8" s="4" t="s">
        <v>146</v>
      </c>
      <c r="H8" s="28"/>
      <c r="I8" s="28" t="s">
        <v>140</v>
      </c>
      <c r="J8" s="28"/>
      <c r="K8" s="28" t="s">
        <v>139</v>
      </c>
    </row>
    <row r="9" spans="2:11" ht="13" thickBot="1">
      <c r="B9" s="30">
        <v>42042</v>
      </c>
      <c r="C9" s="30" t="str">
        <f t="shared" si="0"/>
        <v>février</v>
      </c>
      <c r="D9" s="27" t="s">
        <v>142</v>
      </c>
      <c r="E9" s="28" t="s">
        <v>92</v>
      </c>
      <c r="F9" s="4" t="s">
        <v>96</v>
      </c>
      <c r="G9" s="4" t="s">
        <v>146</v>
      </c>
      <c r="H9" s="28"/>
      <c r="I9" s="28" t="s">
        <v>140</v>
      </c>
      <c r="J9" s="28"/>
      <c r="K9" s="28" t="s">
        <v>139</v>
      </c>
    </row>
    <row r="10" spans="2:11" ht="13" thickBot="1">
      <c r="B10" s="30">
        <v>42057</v>
      </c>
      <c r="C10" s="30" t="str">
        <f t="shared" si="0"/>
        <v>février</v>
      </c>
      <c r="D10" s="27" t="s">
        <v>147</v>
      </c>
      <c r="E10" s="28" t="s">
        <v>92</v>
      </c>
      <c r="F10" s="4" t="s">
        <v>148</v>
      </c>
      <c r="G10" s="4" t="s">
        <v>146</v>
      </c>
      <c r="H10" s="28"/>
      <c r="I10" s="28"/>
      <c r="J10" s="28"/>
      <c r="K10" s="28"/>
    </row>
    <row r="11" spans="2:11" ht="13" thickBot="1">
      <c r="B11" s="30">
        <v>42064</v>
      </c>
      <c r="C11" s="30" t="str">
        <f t="shared" si="0"/>
        <v>mars</v>
      </c>
      <c r="D11" s="27" t="s">
        <v>143</v>
      </c>
      <c r="E11" s="28" t="s">
        <v>92</v>
      </c>
      <c r="F11" s="4" t="s">
        <v>145</v>
      </c>
      <c r="G11" s="4" t="s">
        <v>146</v>
      </c>
      <c r="H11" s="4"/>
      <c r="I11" s="4" t="s">
        <v>140</v>
      </c>
      <c r="J11" s="4"/>
      <c r="K11" s="28" t="s">
        <v>139</v>
      </c>
    </row>
    <row r="12" spans="2:11" ht="13" thickBot="1">
      <c r="B12" s="30">
        <v>42077</v>
      </c>
      <c r="C12" s="30" t="str">
        <f t="shared" si="0"/>
        <v>mars</v>
      </c>
      <c r="D12" s="27" t="s">
        <v>363</v>
      </c>
      <c r="E12" s="28" t="s">
        <v>90</v>
      </c>
      <c r="F12" s="4" t="s">
        <v>94</v>
      </c>
      <c r="G12" s="4" t="s">
        <v>146</v>
      </c>
      <c r="H12" s="4"/>
      <c r="I12" s="4" t="s">
        <v>140</v>
      </c>
      <c r="J12" s="4"/>
      <c r="K12" s="28"/>
    </row>
    <row r="13" spans="2:11" ht="13" thickBot="1">
      <c r="B13" s="30">
        <v>42085</v>
      </c>
      <c r="C13" s="30" t="str">
        <f t="shared" si="0"/>
        <v>mars</v>
      </c>
      <c r="D13" s="27" t="s">
        <v>149</v>
      </c>
      <c r="E13" s="28" t="s">
        <v>98</v>
      </c>
      <c r="F13" s="4" t="s">
        <v>150</v>
      </c>
      <c r="G13" s="4" t="s">
        <v>146</v>
      </c>
      <c r="H13" s="28"/>
      <c r="I13" s="28" t="s">
        <v>140</v>
      </c>
      <c r="J13" s="28"/>
      <c r="K13" s="28"/>
    </row>
    <row r="14" spans="2:11" ht="13" thickBot="1">
      <c r="B14" s="30">
        <v>42127</v>
      </c>
      <c r="C14" s="30" t="str">
        <f t="shared" si="0"/>
        <v>mai</v>
      </c>
      <c r="D14" s="27" t="s">
        <v>164</v>
      </c>
      <c r="E14" s="4" t="s">
        <v>91</v>
      </c>
      <c r="F14" s="4" t="s">
        <v>136</v>
      </c>
      <c r="G14" s="4" t="s">
        <v>146</v>
      </c>
      <c r="H14" s="28"/>
      <c r="I14" s="28" t="s">
        <v>140</v>
      </c>
      <c r="J14" s="28"/>
      <c r="K14" s="28"/>
    </row>
    <row r="15" spans="2:11" ht="13" thickBot="1">
      <c r="B15" s="30">
        <v>42140</v>
      </c>
      <c r="C15" s="30" t="str">
        <f t="shared" si="0"/>
        <v>mai</v>
      </c>
      <c r="D15" s="27" t="s">
        <v>162</v>
      </c>
      <c r="E15" s="4" t="s">
        <v>100</v>
      </c>
      <c r="F15" s="4" t="s">
        <v>136</v>
      </c>
      <c r="G15" s="4" t="s">
        <v>146</v>
      </c>
      <c r="H15" s="28"/>
      <c r="I15" s="28" t="s">
        <v>140</v>
      </c>
      <c r="J15" s="28"/>
      <c r="K15" s="28"/>
    </row>
    <row r="16" spans="2:11" ht="13" thickBot="1">
      <c r="B16" s="30">
        <v>42155</v>
      </c>
      <c r="C16" s="30" t="str">
        <f t="shared" si="0"/>
        <v>mai</v>
      </c>
      <c r="D16" s="27" t="s">
        <v>165</v>
      </c>
      <c r="E16" s="4" t="s">
        <v>91</v>
      </c>
      <c r="F16" s="4" t="s">
        <v>136</v>
      </c>
      <c r="G16" s="4" t="s">
        <v>146</v>
      </c>
      <c r="H16" s="28"/>
      <c r="I16" s="28" t="s">
        <v>140</v>
      </c>
      <c r="J16" s="28"/>
      <c r="K16" s="28"/>
    </row>
    <row r="17" spans="1:11" ht="13" thickBot="1">
      <c r="B17" s="30">
        <v>42183</v>
      </c>
      <c r="C17" s="30" t="str">
        <f t="shared" si="0"/>
        <v>juin</v>
      </c>
      <c r="D17" s="27" t="s">
        <v>161</v>
      </c>
      <c r="E17" s="4" t="s">
        <v>92</v>
      </c>
      <c r="F17" s="4" t="s">
        <v>94</v>
      </c>
      <c r="G17" s="4" t="s">
        <v>163</v>
      </c>
      <c r="H17" s="28"/>
      <c r="I17" s="28" t="s">
        <v>140</v>
      </c>
      <c r="J17" s="28"/>
      <c r="K17" s="28"/>
    </row>
    <row r="18" spans="1:11" ht="13" thickBot="1">
      <c r="B18" s="30"/>
      <c r="C18" s="30"/>
      <c r="D18" s="27"/>
      <c r="E18" s="4" t="s">
        <v>92</v>
      </c>
      <c r="F18" s="4" t="s">
        <v>136</v>
      </c>
      <c r="G18" s="4"/>
      <c r="H18" s="28"/>
      <c r="I18" s="28" t="s">
        <v>140</v>
      </c>
      <c r="J18" s="28"/>
      <c r="K18" s="28"/>
    </row>
    <row r="19" spans="1:11" ht="13" thickBot="1">
      <c r="B19" s="30">
        <v>42259</v>
      </c>
      <c r="C19" s="30" t="str">
        <f t="shared" si="0"/>
        <v>septembre</v>
      </c>
      <c r="D19" s="27" t="s">
        <v>160</v>
      </c>
      <c r="E19" s="4" t="s">
        <v>92</v>
      </c>
      <c r="F19" s="4" t="s">
        <v>150</v>
      </c>
      <c r="G19" s="4" t="s">
        <v>163</v>
      </c>
      <c r="H19" s="28"/>
      <c r="I19" s="28" t="s">
        <v>140</v>
      </c>
      <c r="J19" s="28"/>
      <c r="K19" s="28"/>
    </row>
    <row r="20" spans="1:11" ht="13" thickBot="1">
      <c r="B20" s="31">
        <v>42274</v>
      </c>
      <c r="C20" s="31" t="str">
        <f t="shared" si="0"/>
        <v>septembre</v>
      </c>
      <c r="D20" s="27" t="s">
        <v>151</v>
      </c>
      <c r="E20" s="28" t="s">
        <v>98</v>
      </c>
      <c r="F20" s="4" t="s">
        <v>154</v>
      </c>
      <c r="G20" s="4" t="s">
        <v>146</v>
      </c>
      <c r="H20" s="28"/>
      <c r="I20" s="28" t="s">
        <v>140</v>
      </c>
      <c r="J20" s="28"/>
      <c r="K20" s="28"/>
    </row>
    <row r="21" spans="1:11" ht="13" thickBot="1">
      <c r="A21" s="122"/>
      <c r="B21" s="31">
        <v>42294</v>
      </c>
      <c r="C21" s="31" t="str">
        <f t="shared" si="0"/>
        <v>octobre</v>
      </c>
      <c r="D21" s="27" t="s">
        <v>361</v>
      </c>
      <c r="E21" s="28" t="s">
        <v>98</v>
      </c>
      <c r="F21" s="4" t="s">
        <v>362</v>
      </c>
      <c r="G21" s="4"/>
      <c r="H21" s="28"/>
      <c r="I21" s="28"/>
      <c r="J21" s="28"/>
      <c r="K21" s="28"/>
    </row>
    <row r="22" spans="1:11" ht="13" thickBot="1">
      <c r="B22" s="31">
        <v>42309</v>
      </c>
      <c r="C22" s="31" t="str">
        <f t="shared" si="0"/>
        <v>novembre</v>
      </c>
      <c r="D22" s="27" t="s">
        <v>152</v>
      </c>
      <c r="E22" s="28" t="s">
        <v>92</v>
      </c>
      <c r="F22" s="4" t="s">
        <v>153</v>
      </c>
      <c r="G22" s="4" t="s">
        <v>146</v>
      </c>
      <c r="H22" s="28"/>
      <c r="I22" s="28" t="s">
        <v>140</v>
      </c>
      <c r="J22" s="28"/>
      <c r="K22" s="28"/>
    </row>
    <row r="23" spans="1:11" ht="13" thickBot="1">
      <c r="B23" s="31">
        <v>42316</v>
      </c>
      <c r="C23" s="31" t="str">
        <f t="shared" si="0"/>
        <v>novembre</v>
      </c>
      <c r="D23" s="27" t="s">
        <v>155</v>
      </c>
      <c r="E23" s="28" t="s">
        <v>92</v>
      </c>
      <c r="F23" s="4" t="s">
        <v>156</v>
      </c>
      <c r="G23" s="4" t="s">
        <v>146</v>
      </c>
      <c r="H23" s="28"/>
      <c r="I23" s="28" t="s">
        <v>140</v>
      </c>
      <c r="J23" s="28"/>
      <c r="K23" s="28"/>
    </row>
    <row r="24" spans="1:11" ht="13" thickBot="1">
      <c r="B24" s="31">
        <v>42329</v>
      </c>
      <c r="C24" s="31" t="str">
        <f t="shared" si="0"/>
        <v>novembre</v>
      </c>
      <c r="D24" s="27" t="s">
        <v>157</v>
      </c>
      <c r="E24" s="28" t="s">
        <v>92</v>
      </c>
      <c r="F24" s="4" t="s">
        <v>158</v>
      </c>
      <c r="G24" s="4" t="s">
        <v>146</v>
      </c>
      <c r="H24" s="28"/>
      <c r="I24" s="28" t="s">
        <v>140</v>
      </c>
      <c r="J24" s="28"/>
      <c r="K24" s="28"/>
    </row>
    <row r="25" spans="1:11" ht="13" thickBot="1">
      <c r="B25" s="31">
        <v>42350</v>
      </c>
      <c r="C25" s="31" t="str">
        <f t="shared" si="0"/>
        <v>décembre</v>
      </c>
      <c r="D25" s="27" t="s">
        <v>159</v>
      </c>
      <c r="E25" s="28" t="s">
        <v>92</v>
      </c>
      <c r="F25" s="4" t="s">
        <v>96</v>
      </c>
      <c r="G25" s="4" t="s">
        <v>146</v>
      </c>
      <c r="H25" s="28"/>
      <c r="I25" s="28" t="s">
        <v>140</v>
      </c>
      <c r="J25" s="28"/>
      <c r="K25" s="28"/>
    </row>
  </sheetData>
  <mergeCells count="3">
    <mergeCell ref="J5:K5"/>
    <mergeCell ref="D5:F5"/>
    <mergeCell ref="B2:K2"/>
  </mergeCells>
  <dataValidations count="3">
    <dataValidation type="list" showInputMessage="1" showErrorMessage="1" sqref="E7:E25">
      <formula1>L_EPREUVES</formula1>
    </dataValidation>
    <dataValidation type="list" showInputMessage="1" showErrorMessage="1" sqref="I7">
      <formula1>L_VOTE</formula1>
    </dataValidation>
    <dataValidation type="list" allowBlank="1" showInputMessage="1" showErrorMessage="1" sqref="K7">
      <formula1>L_VOTE</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
  <sheetViews>
    <sheetView showGridLines="0" workbookViewId="0">
      <selection activeCell="M37" sqref="M37"/>
    </sheetView>
  </sheetViews>
  <sheetFormatPr baseColWidth="10" defaultRowHeight="12" x14ac:dyDescent="0"/>
  <cols>
    <col min="1" max="1" width="14.33203125" customWidth="1"/>
    <col min="2" max="2" width="15.83203125" style="3" customWidth="1"/>
    <col min="5" max="5" width="15.33203125" bestFit="1" customWidth="1"/>
    <col min="6" max="6" width="15.33203125" customWidth="1"/>
    <col min="7" max="7" width="15.33203125" bestFit="1" customWidth="1"/>
    <col min="9" max="9" width="35" customWidth="1"/>
    <col min="10" max="10" width="14" customWidth="1"/>
    <col min="13" max="13" width="23" customWidth="1"/>
    <col min="14" max="14" width="17" customWidth="1"/>
    <col min="16" max="16" width="21" customWidth="1"/>
    <col min="18" max="18" width="13.33203125" bestFit="1" customWidth="1"/>
    <col min="19" max="19" width="15" customWidth="1"/>
    <col min="22" max="22" width="21" customWidth="1"/>
  </cols>
  <sheetData>
    <row r="1" spans="2:22" ht="13" thickBot="1"/>
    <row r="2" spans="2:22" ht="23" customHeight="1" thickBot="1">
      <c r="B2" s="398" t="s">
        <v>166</v>
      </c>
      <c r="C2" s="399"/>
      <c r="D2" s="399"/>
      <c r="E2" s="399"/>
      <c r="F2" s="399"/>
      <c r="G2" s="399"/>
      <c r="H2" s="399"/>
      <c r="I2" s="399"/>
      <c r="J2" s="399"/>
      <c r="K2" s="399"/>
      <c r="L2" s="399"/>
      <c r="M2" s="399"/>
      <c r="N2" s="399"/>
      <c r="O2" s="399"/>
      <c r="P2" s="399"/>
      <c r="Q2" s="399"/>
      <c r="R2" s="399"/>
      <c r="S2" s="399"/>
      <c r="T2" s="399"/>
      <c r="U2" s="400"/>
    </row>
    <row r="5" spans="2:22" ht="13" thickBot="1">
      <c r="B5" s="397" t="s">
        <v>656</v>
      </c>
      <c r="C5" s="397"/>
      <c r="D5" s="397"/>
      <c r="E5" s="397"/>
      <c r="F5" s="397"/>
      <c r="G5" s="397"/>
      <c r="H5" s="397"/>
      <c r="I5" s="397"/>
      <c r="J5" s="397"/>
      <c r="K5" s="397"/>
      <c r="L5" s="397"/>
      <c r="M5" s="397"/>
      <c r="N5" s="397"/>
      <c r="O5" s="397"/>
      <c r="P5" s="397"/>
      <c r="Q5" s="397"/>
      <c r="R5" s="397"/>
      <c r="S5" s="397"/>
      <c r="T5" s="397"/>
      <c r="U5" s="397"/>
    </row>
    <row r="6" spans="2:22" ht="26" customHeight="1" thickBot="1">
      <c r="B6" s="401" t="s">
        <v>75</v>
      </c>
      <c r="C6" s="402" t="s">
        <v>0</v>
      </c>
      <c r="D6" s="402" t="s">
        <v>671</v>
      </c>
      <c r="E6" s="402"/>
      <c r="F6" s="402"/>
      <c r="G6" s="402"/>
      <c r="H6" s="403" t="s">
        <v>486</v>
      </c>
      <c r="I6" s="404"/>
      <c r="J6" s="402" t="s">
        <v>22</v>
      </c>
    </row>
    <row r="7" spans="2:22" s="3" customFormat="1" ht="32" customHeight="1" thickBot="1">
      <c r="B7" s="401"/>
      <c r="C7" s="402"/>
      <c r="D7" s="199" t="s">
        <v>667</v>
      </c>
      <c r="E7" s="199" t="s">
        <v>672</v>
      </c>
      <c r="F7" s="199" t="s">
        <v>662</v>
      </c>
      <c r="G7" s="199" t="s">
        <v>93</v>
      </c>
      <c r="H7" s="199" t="s">
        <v>667</v>
      </c>
      <c r="I7" s="199" t="s">
        <v>8</v>
      </c>
      <c r="J7" s="402"/>
      <c r="M7" s="199" t="s">
        <v>38</v>
      </c>
      <c r="N7" s="199" t="s">
        <v>61</v>
      </c>
      <c r="P7" s="258" t="s">
        <v>168</v>
      </c>
      <c r="Q7" s="258" t="s">
        <v>646</v>
      </c>
      <c r="R7" s="258" t="s">
        <v>647</v>
      </c>
      <c r="S7" s="259" t="s">
        <v>653</v>
      </c>
      <c r="T7" s="259" t="s">
        <v>654</v>
      </c>
      <c r="U7" s="258" t="s">
        <v>365</v>
      </c>
      <c r="V7" s="258" t="s">
        <v>661</v>
      </c>
    </row>
    <row r="8" spans="2:22" ht="14" thickBot="1">
      <c r="B8" s="5">
        <f t="shared" ref="B8:B68" si="0">B9-1</f>
        <v>42380</v>
      </c>
      <c r="C8" s="6" t="s">
        <v>1</v>
      </c>
      <c r="D8" s="6">
        <v>0</v>
      </c>
      <c r="E8" s="6"/>
      <c r="F8" s="6"/>
      <c r="G8" s="6"/>
      <c r="H8" s="6"/>
      <c r="I8" s="6" t="s">
        <v>9</v>
      </c>
      <c r="J8" s="396" t="s">
        <v>23</v>
      </c>
      <c r="M8" s="256" t="s">
        <v>39</v>
      </c>
      <c r="N8" s="256" t="s">
        <v>62</v>
      </c>
      <c r="P8" s="256" t="s">
        <v>648</v>
      </c>
      <c r="Q8" s="260">
        <v>13.33</v>
      </c>
      <c r="R8" s="4" t="s">
        <v>651</v>
      </c>
      <c r="S8" s="190"/>
      <c r="T8" s="190"/>
      <c r="U8" s="190">
        <f>Q8/T11*100</f>
        <v>98.46022727272728</v>
      </c>
      <c r="V8" s="261">
        <v>2.9861111111111113E-2</v>
      </c>
    </row>
    <row r="9" spans="2:22" ht="14" thickBot="1">
      <c r="B9" s="5">
        <f t="shared" si="0"/>
        <v>42381</v>
      </c>
      <c r="C9" s="6" t="s">
        <v>2</v>
      </c>
      <c r="D9" s="6" t="s">
        <v>668</v>
      </c>
      <c r="E9" s="6" t="s">
        <v>673</v>
      </c>
      <c r="F9" s="6" t="s">
        <v>674</v>
      </c>
      <c r="G9" s="6" t="s">
        <v>674</v>
      </c>
      <c r="H9" s="6"/>
      <c r="I9" s="6" t="s">
        <v>10</v>
      </c>
      <c r="J9" s="396"/>
      <c r="M9" s="256" t="s">
        <v>40</v>
      </c>
      <c r="N9" s="256" t="s">
        <v>62</v>
      </c>
      <c r="P9" s="256" t="s">
        <v>649</v>
      </c>
      <c r="Q9" s="260">
        <v>12</v>
      </c>
      <c r="R9" s="4" t="s">
        <v>650</v>
      </c>
      <c r="S9" s="190"/>
      <c r="T9" s="190"/>
      <c r="U9" s="190">
        <f>Q9/T12*100</f>
        <v>85.714285714285694</v>
      </c>
      <c r="V9" s="261">
        <v>7.3263888888888892E-2</v>
      </c>
    </row>
    <row r="10" spans="2:22" ht="14" thickBot="1">
      <c r="B10" s="5">
        <f t="shared" si="0"/>
        <v>42382</v>
      </c>
      <c r="C10" s="7" t="s">
        <v>3</v>
      </c>
      <c r="D10" s="7"/>
      <c r="E10" s="7"/>
      <c r="F10" s="7"/>
      <c r="G10" s="7"/>
      <c r="H10" s="7"/>
      <c r="I10" s="7" t="s">
        <v>11</v>
      </c>
      <c r="J10" s="396"/>
      <c r="M10" s="256" t="s">
        <v>41</v>
      </c>
      <c r="N10" s="256" t="s">
        <v>63</v>
      </c>
      <c r="P10" s="256"/>
      <c r="Q10" s="256"/>
      <c r="R10" s="28"/>
      <c r="S10" s="190"/>
      <c r="T10" s="190"/>
      <c r="U10" s="190"/>
      <c r="V10" s="262">
        <v>0.15625</v>
      </c>
    </row>
    <row r="11" spans="2:22" ht="14" thickBot="1">
      <c r="B11" s="5">
        <f t="shared" si="0"/>
        <v>42383</v>
      </c>
      <c r="C11" s="6" t="s">
        <v>4</v>
      </c>
      <c r="D11" s="6"/>
      <c r="E11" s="6"/>
      <c r="F11" s="6"/>
      <c r="G11" s="6"/>
      <c r="H11" s="6"/>
      <c r="I11" s="6" t="s">
        <v>12</v>
      </c>
      <c r="J11" s="396"/>
      <c r="M11" s="256" t="s">
        <v>42</v>
      </c>
      <c r="N11" s="256" t="s">
        <v>64</v>
      </c>
      <c r="P11" s="256" t="s">
        <v>652</v>
      </c>
      <c r="Q11" s="260">
        <v>8.8000000000000007</v>
      </c>
      <c r="R11" s="28"/>
      <c r="S11" s="190">
        <f>Q11/0.7</f>
        <v>12.571428571428573</v>
      </c>
      <c r="T11" s="190">
        <f>Q11/0.65</f>
        <v>13.538461538461538</v>
      </c>
      <c r="U11" s="190"/>
      <c r="V11" s="28"/>
    </row>
    <row r="12" spans="2:22" ht="14" thickBot="1">
      <c r="B12" s="5">
        <f t="shared" si="0"/>
        <v>42384</v>
      </c>
      <c r="C12" s="6" t="s">
        <v>5</v>
      </c>
      <c r="D12" s="6"/>
      <c r="E12" s="6"/>
      <c r="F12" s="6"/>
      <c r="G12" s="6"/>
      <c r="H12" s="6"/>
      <c r="I12" s="6" t="s">
        <v>9</v>
      </c>
      <c r="J12" s="396"/>
      <c r="M12" s="256" t="s">
        <v>43</v>
      </c>
      <c r="N12" s="256" t="s">
        <v>65</v>
      </c>
      <c r="P12" s="256" t="s">
        <v>655</v>
      </c>
      <c r="Q12" s="260">
        <v>9.8000000000000007</v>
      </c>
      <c r="R12" s="28"/>
      <c r="S12" s="190">
        <f>Q12/0.75</f>
        <v>13.066666666666668</v>
      </c>
      <c r="T12" s="190">
        <f>Q12/0.7</f>
        <v>14.000000000000002</v>
      </c>
      <c r="U12" s="190"/>
      <c r="V12" s="28"/>
    </row>
    <row r="13" spans="2:22" ht="14" thickBot="1">
      <c r="B13" s="5">
        <f t="shared" si="0"/>
        <v>42385</v>
      </c>
      <c r="C13" s="6" t="s">
        <v>6</v>
      </c>
      <c r="D13" s="6"/>
      <c r="E13" s="6"/>
      <c r="F13" s="6"/>
      <c r="G13" s="6"/>
      <c r="H13" s="6"/>
      <c r="I13" s="6" t="s">
        <v>13</v>
      </c>
      <c r="J13" s="396"/>
      <c r="M13" s="256" t="s">
        <v>44</v>
      </c>
      <c r="N13" s="256" t="s">
        <v>64</v>
      </c>
      <c r="P13" s="256" t="s">
        <v>657</v>
      </c>
      <c r="Q13" s="256">
        <f>T13*0.75</f>
        <v>12</v>
      </c>
      <c r="R13" s="28"/>
      <c r="S13" s="190"/>
      <c r="T13" s="260">
        <v>16</v>
      </c>
      <c r="U13" s="190"/>
      <c r="V13" s="28"/>
    </row>
    <row r="14" spans="2:22" ht="14" thickBot="1">
      <c r="B14" s="5">
        <f t="shared" si="0"/>
        <v>42386</v>
      </c>
      <c r="C14" s="7" t="s">
        <v>7</v>
      </c>
      <c r="D14" s="7"/>
      <c r="E14" s="7"/>
      <c r="F14" s="7"/>
      <c r="G14" s="7"/>
      <c r="H14" s="7"/>
      <c r="I14" s="7" t="s">
        <v>14</v>
      </c>
      <c r="J14" s="396"/>
      <c r="M14" s="256" t="s">
        <v>45</v>
      </c>
      <c r="N14" s="256" t="s">
        <v>65</v>
      </c>
      <c r="P14" s="256" t="s">
        <v>658</v>
      </c>
      <c r="Q14" s="190">
        <f>T14*0.7</f>
        <v>11.2</v>
      </c>
      <c r="R14" s="24"/>
      <c r="S14" s="24"/>
      <c r="T14" s="260">
        <v>16</v>
      </c>
      <c r="U14" s="24"/>
      <c r="V14" s="24"/>
    </row>
    <row r="15" spans="2:22" ht="13" customHeight="1" thickBot="1">
      <c r="B15" s="5">
        <f t="shared" si="0"/>
        <v>42387</v>
      </c>
      <c r="C15" s="6" t="s">
        <v>1</v>
      </c>
      <c r="G15" s="6"/>
      <c r="H15" s="6"/>
      <c r="I15" s="6" t="s">
        <v>9</v>
      </c>
      <c r="J15" s="396" t="s">
        <v>24</v>
      </c>
      <c r="M15" s="256" t="s">
        <v>46</v>
      </c>
      <c r="N15" s="263"/>
      <c r="P15" s="256" t="s">
        <v>659</v>
      </c>
      <c r="Q15" s="190">
        <f>Q13-1</f>
        <v>11</v>
      </c>
      <c r="R15" s="28"/>
      <c r="S15" s="190">
        <f>Q15/0.7</f>
        <v>15.714285714285715</v>
      </c>
      <c r="T15" s="190">
        <f>Q15/0.65</f>
        <v>16.923076923076923</v>
      </c>
      <c r="U15" s="190"/>
      <c r="V15" s="28"/>
    </row>
    <row r="16" spans="2:22" ht="14" thickBot="1">
      <c r="B16" s="5">
        <f t="shared" si="0"/>
        <v>42388</v>
      </c>
      <c r="C16" s="6" t="s">
        <v>2</v>
      </c>
      <c r="D16" s="6" t="str">
        <f>D9</f>
        <v>1h15</v>
      </c>
      <c r="E16" s="6"/>
      <c r="F16" s="6"/>
      <c r="G16" s="6"/>
      <c r="H16" s="6"/>
      <c r="I16" s="6" t="s">
        <v>15</v>
      </c>
      <c r="J16" s="396"/>
      <c r="M16" s="256" t="s">
        <v>47</v>
      </c>
      <c r="N16" s="256" t="s">
        <v>62</v>
      </c>
      <c r="P16" s="256" t="s">
        <v>660</v>
      </c>
      <c r="Q16" s="190">
        <f>Q14-1</f>
        <v>10.199999999999999</v>
      </c>
      <c r="R16" s="28"/>
      <c r="S16" s="190">
        <f>Q16/0.75</f>
        <v>13.6</v>
      </c>
      <c r="T16" s="190">
        <f>Q16/0.7</f>
        <v>14.571428571428571</v>
      </c>
      <c r="U16" s="190"/>
      <c r="V16" s="28"/>
    </row>
    <row r="17" spans="2:22" ht="14" thickBot="1">
      <c r="B17" s="5">
        <f t="shared" si="0"/>
        <v>42389</v>
      </c>
      <c r="C17" s="7" t="s">
        <v>3</v>
      </c>
      <c r="D17" s="7"/>
      <c r="E17" s="7"/>
      <c r="F17" s="7"/>
      <c r="G17" s="7"/>
      <c r="H17" s="7"/>
      <c r="I17" s="7" t="s">
        <v>11</v>
      </c>
      <c r="J17" s="396"/>
      <c r="M17" s="395" t="s">
        <v>48</v>
      </c>
      <c r="N17" s="395"/>
      <c r="P17" s="24"/>
      <c r="Q17" s="24"/>
      <c r="R17" s="24"/>
      <c r="S17" s="24"/>
      <c r="T17" s="24"/>
      <c r="U17" s="24"/>
      <c r="V17" s="24"/>
    </row>
    <row r="18" spans="2:22" ht="14" thickBot="1">
      <c r="B18" s="5">
        <f t="shared" si="0"/>
        <v>42390</v>
      </c>
      <c r="C18" s="6" t="s">
        <v>4</v>
      </c>
      <c r="D18" s="6"/>
      <c r="E18" s="6"/>
      <c r="F18" s="6"/>
      <c r="G18" s="6"/>
      <c r="H18" s="6"/>
      <c r="I18" s="6" t="s">
        <v>12</v>
      </c>
      <c r="J18" s="396"/>
      <c r="M18" s="256" t="s">
        <v>49</v>
      </c>
      <c r="N18" s="264" t="s">
        <v>67</v>
      </c>
      <c r="P18" s="24"/>
      <c r="Q18" s="24"/>
      <c r="R18" s="24"/>
      <c r="S18" s="24"/>
      <c r="T18" s="24"/>
      <c r="U18" s="24"/>
      <c r="V18" s="24"/>
    </row>
    <row r="19" spans="2:22" ht="14" thickBot="1">
      <c r="B19" s="5">
        <f t="shared" si="0"/>
        <v>42391</v>
      </c>
      <c r="C19" s="6" t="s">
        <v>5</v>
      </c>
      <c r="D19" s="6"/>
      <c r="E19" s="6"/>
      <c r="F19" s="6"/>
      <c r="G19" s="6"/>
      <c r="H19" s="6"/>
      <c r="I19" s="6" t="s">
        <v>9</v>
      </c>
      <c r="J19" s="396"/>
      <c r="M19" s="256" t="s">
        <v>50</v>
      </c>
      <c r="N19" s="264" t="s">
        <v>68</v>
      </c>
    </row>
    <row r="20" spans="2:22" ht="14" thickBot="1">
      <c r="B20" s="5">
        <f t="shared" si="0"/>
        <v>42392</v>
      </c>
      <c r="C20" s="8" t="s">
        <v>6</v>
      </c>
      <c r="D20" s="256"/>
      <c r="E20" s="256"/>
      <c r="F20" s="256"/>
      <c r="G20" s="256"/>
      <c r="H20" s="256"/>
      <c r="I20" s="8" t="s">
        <v>13</v>
      </c>
      <c r="J20" s="396"/>
      <c r="M20" s="256" t="s">
        <v>51</v>
      </c>
      <c r="N20" s="264" t="s">
        <v>69</v>
      </c>
    </row>
    <row r="21" spans="2:22" ht="14" thickBot="1">
      <c r="B21" s="5">
        <f t="shared" si="0"/>
        <v>42393</v>
      </c>
      <c r="C21" s="7" t="s">
        <v>7</v>
      </c>
      <c r="D21" s="7"/>
      <c r="E21" s="7"/>
      <c r="F21" s="7"/>
      <c r="G21" s="7"/>
      <c r="H21" s="7"/>
      <c r="I21" s="7" t="s">
        <v>14</v>
      </c>
      <c r="J21" s="396"/>
      <c r="M21" s="395" t="s">
        <v>52</v>
      </c>
      <c r="N21" s="395"/>
      <c r="P21" s="258" t="s">
        <v>662</v>
      </c>
      <c r="Q21" s="258" t="s">
        <v>646</v>
      </c>
      <c r="R21" s="258" t="s">
        <v>647</v>
      </c>
    </row>
    <row r="22" spans="2:22" ht="14" thickBot="1">
      <c r="B22" s="5">
        <f t="shared" si="0"/>
        <v>42394</v>
      </c>
      <c r="C22" s="6" t="s">
        <v>1</v>
      </c>
      <c r="D22" s="6"/>
      <c r="E22" s="6"/>
      <c r="F22" s="6"/>
      <c r="G22" s="6"/>
      <c r="H22" s="6"/>
      <c r="I22" s="6" t="s">
        <v>9</v>
      </c>
      <c r="J22" s="396" t="s">
        <v>25</v>
      </c>
      <c r="M22" s="256" t="s">
        <v>53</v>
      </c>
      <c r="N22" s="256" t="s">
        <v>70</v>
      </c>
      <c r="P22" s="256" t="s">
        <v>180</v>
      </c>
      <c r="Q22" s="260">
        <v>16</v>
      </c>
      <c r="R22" s="4" t="s">
        <v>663</v>
      </c>
    </row>
    <row r="23" spans="2:22" ht="14" thickBot="1">
      <c r="B23" s="5">
        <f t="shared" si="0"/>
        <v>42395</v>
      </c>
      <c r="C23" s="6" t="s">
        <v>2</v>
      </c>
      <c r="D23" s="6" t="str">
        <f>D9</f>
        <v>1h15</v>
      </c>
      <c r="E23" s="6"/>
      <c r="F23" s="6"/>
      <c r="G23" s="6"/>
      <c r="H23" s="6"/>
      <c r="I23" s="6" t="s">
        <v>16</v>
      </c>
      <c r="J23" s="396"/>
      <c r="M23" s="256" t="s">
        <v>54</v>
      </c>
      <c r="N23" s="256" t="s">
        <v>70</v>
      </c>
      <c r="P23" s="256" t="s">
        <v>648</v>
      </c>
      <c r="Q23" s="260">
        <v>13.33</v>
      </c>
      <c r="R23" s="4" t="s">
        <v>651</v>
      </c>
    </row>
    <row r="24" spans="2:22" ht="14" thickBot="1">
      <c r="B24" s="5">
        <f t="shared" si="0"/>
        <v>42396</v>
      </c>
      <c r="C24" s="7" t="s">
        <v>3</v>
      </c>
      <c r="D24" s="7"/>
      <c r="E24" s="7"/>
      <c r="F24" s="7"/>
      <c r="G24" s="7"/>
      <c r="H24" s="7"/>
      <c r="I24" s="7" t="s">
        <v>11</v>
      </c>
      <c r="J24" s="396"/>
      <c r="M24" s="256" t="s">
        <v>55</v>
      </c>
      <c r="N24" s="256" t="s">
        <v>71</v>
      </c>
      <c r="P24" s="256" t="s">
        <v>649</v>
      </c>
      <c r="Q24" s="260">
        <v>12</v>
      </c>
      <c r="R24" s="4" t="s">
        <v>650</v>
      </c>
    </row>
    <row r="25" spans="2:22" ht="14" thickBot="1">
      <c r="B25" s="5">
        <f t="shared" si="0"/>
        <v>42397</v>
      </c>
      <c r="C25" s="6" t="s">
        <v>4</v>
      </c>
      <c r="D25" s="6"/>
      <c r="E25" s="6"/>
      <c r="F25" s="6"/>
      <c r="G25" s="6"/>
      <c r="H25" s="6"/>
      <c r="I25" s="6" t="s">
        <v>12</v>
      </c>
      <c r="J25" s="396"/>
      <c r="M25" s="256" t="s">
        <v>56</v>
      </c>
      <c r="N25" s="256" t="s">
        <v>72</v>
      </c>
      <c r="P25" s="256" t="s">
        <v>652</v>
      </c>
      <c r="Q25" s="260">
        <v>9</v>
      </c>
      <c r="R25" s="4" t="s">
        <v>666</v>
      </c>
    </row>
    <row r="26" spans="2:22" ht="14" thickBot="1">
      <c r="B26" s="5">
        <f t="shared" si="0"/>
        <v>42398</v>
      </c>
      <c r="C26" s="6" t="s">
        <v>5</v>
      </c>
      <c r="D26" s="6"/>
      <c r="E26" s="6"/>
      <c r="F26" s="6"/>
      <c r="G26" s="6"/>
      <c r="H26" s="6"/>
      <c r="I26" s="6" t="s">
        <v>9</v>
      </c>
      <c r="J26" s="396"/>
      <c r="M26" s="256" t="s">
        <v>57</v>
      </c>
      <c r="N26" s="256" t="s">
        <v>71</v>
      </c>
      <c r="P26" s="256" t="s">
        <v>655</v>
      </c>
      <c r="Q26" s="260">
        <v>10</v>
      </c>
      <c r="R26" s="4" t="s">
        <v>664</v>
      </c>
    </row>
    <row r="27" spans="2:22" ht="14" thickBot="1">
      <c r="B27" s="5">
        <f t="shared" si="0"/>
        <v>42399</v>
      </c>
      <c r="C27" s="6" t="s">
        <v>6</v>
      </c>
      <c r="D27" s="6"/>
      <c r="E27" s="6"/>
      <c r="F27" s="6"/>
      <c r="G27" s="6"/>
      <c r="H27" s="6"/>
      <c r="I27" s="6" t="s">
        <v>13</v>
      </c>
      <c r="J27" s="396"/>
      <c r="M27" s="256" t="s">
        <v>58</v>
      </c>
      <c r="N27" s="256" t="s">
        <v>71</v>
      </c>
      <c r="P27" s="256" t="s">
        <v>644</v>
      </c>
      <c r="Q27" s="260">
        <v>11.25</v>
      </c>
      <c r="R27" s="4" t="s">
        <v>665</v>
      </c>
    </row>
    <row r="28" spans="2:22" ht="14" thickBot="1">
      <c r="B28" s="5">
        <f t="shared" si="0"/>
        <v>42400</v>
      </c>
      <c r="C28" s="7" t="s">
        <v>7</v>
      </c>
      <c r="D28" s="7"/>
      <c r="E28" s="7"/>
      <c r="F28" s="7"/>
      <c r="G28" s="7"/>
      <c r="H28" s="7"/>
      <c r="I28" s="7" t="s">
        <v>17</v>
      </c>
      <c r="J28" s="396"/>
      <c r="M28" s="256" t="s">
        <v>59</v>
      </c>
      <c r="N28" s="256" t="s">
        <v>73</v>
      </c>
    </row>
    <row r="29" spans="2:22" ht="14" thickBot="1">
      <c r="B29" s="5">
        <f t="shared" si="0"/>
        <v>42401</v>
      </c>
      <c r="C29" s="6" t="s">
        <v>1</v>
      </c>
      <c r="G29" s="6"/>
      <c r="H29" s="6"/>
      <c r="I29" s="6" t="s">
        <v>9</v>
      </c>
      <c r="J29" s="396" t="s">
        <v>26</v>
      </c>
      <c r="M29" s="256" t="s">
        <v>60</v>
      </c>
      <c r="N29" s="256" t="s">
        <v>74</v>
      </c>
    </row>
    <row r="30" spans="2:22" ht="14" thickBot="1">
      <c r="B30" s="5">
        <f t="shared" si="0"/>
        <v>42402</v>
      </c>
      <c r="C30" s="7" t="s">
        <v>2</v>
      </c>
      <c r="D30" s="6" t="s">
        <v>669</v>
      </c>
      <c r="E30" s="6"/>
      <c r="F30" s="6"/>
      <c r="G30" s="7"/>
      <c r="H30" s="7"/>
      <c r="I30" s="7" t="s">
        <v>11</v>
      </c>
      <c r="J30" s="396"/>
    </row>
    <row r="31" spans="2:22" ht="14" thickBot="1">
      <c r="B31" s="5">
        <f t="shared" si="0"/>
        <v>42403</v>
      </c>
      <c r="C31" s="6" t="s">
        <v>3</v>
      </c>
      <c r="D31" s="6"/>
      <c r="E31" s="6"/>
      <c r="F31" s="6"/>
      <c r="G31" s="6"/>
      <c r="H31" s="6"/>
      <c r="I31" s="6" t="s">
        <v>18</v>
      </c>
      <c r="J31" s="396"/>
    </row>
    <row r="32" spans="2:22" ht="14" thickBot="1">
      <c r="B32" s="5">
        <f t="shared" si="0"/>
        <v>42404</v>
      </c>
      <c r="C32" s="6" t="s">
        <v>4</v>
      </c>
      <c r="D32" s="6"/>
      <c r="E32" s="6"/>
      <c r="F32" s="6"/>
      <c r="G32" s="6"/>
      <c r="H32" s="6"/>
      <c r="I32" s="6" t="s">
        <v>11</v>
      </c>
      <c r="J32" s="396"/>
    </row>
    <row r="33" spans="2:10" ht="14" thickBot="1">
      <c r="B33" s="5">
        <f t="shared" si="0"/>
        <v>42405</v>
      </c>
      <c r="C33" s="6" t="s">
        <v>5</v>
      </c>
      <c r="D33" s="6"/>
      <c r="E33" s="6"/>
      <c r="F33" s="6"/>
      <c r="G33" s="6"/>
      <c r="H33" s="6"/>
      <c r="I33" s="6" t="s">
        <v>9</v>
      </c>
      <c r="J33" s="396"/>
    </row>
    <row r="34" spans="2:10" ht="14" thickBot="1">
      <c r="B34" s="5">
        <f t="shared" si="0"/>
        <v>42406</v>
      </c>
      <c r="C34" s="7" t="s">
        <v>6</v>
      </c>
      <c r="D34" s="7"/>
      <c r="E34" s="7"/>
      <c r="F34" s="7"/>
      <c r="G34" s="7"/>
      <c r="H34" s="7"/>
      <c r="I34" s="7" t="s">
        <v>19</v>
      </c>
      <c r="J34" s="396"/>
    </row>
    <row r="35" spans="2:10" ht="14" thickBot="1">
      <c r="B35" s="5">
        <f t="shared" si="0"/>
        <v>42407</v>
      </c>
      <c r="C35" s="7" t="s">
        <v>7</v>
      </c>
      <c r="D35" s="7"/>
      <c r="E35" s="7"/>
      <c r="F35" s="7"/>
      <c r="G35" s="7"/>
      <c r="H35" s="7"/>
      <c r="I35" s="7" t="s">
        <v>11</v>
      </c>
      <c r="J35" s="396"/>
    </row>
    <row r="36" spans="2:10" ht="14" thickBot="1">
      <c r="B36" s="5">
        <f t="shared" si="0"/>
        <v>42408</v>
      </c>
      <c r="C36" s="6" t="s">
        <v>1</v>
      </c>
      <c r="G36" s="6"/>
      <c r="H36" s="6"/>
      <c r="I36" s="6" t="s">
        <v>9</v>
      </c>
      <c r="J36" s="396" t="s">
        <v>27</v>
      </c>
    </row>
    <row r="37" spans="2:10" ht="14" thickBot="1">
      <c r="B37" s="5">
        <f t="shared" si="0"/>
        <v>42409</v>
      </c>
      <c r="C37" s="6" t="s">
        <v>2</v>
      </c>
      <c r="D37" s="6" t="str">
        <f>D9</f>
        <v>1h15</v>
      </c>
      <c r="E37" s="6"/>
      <c r="F37" s="6"/>
      <c r="G37" s="6"/>
      <c r="H37" s="6"/>
      <c r="I37" s="6" t="s">
        <v>20</v>
      </c>
      <c r="J37" s="396"/>
    </row>
    <row r="38" spans="2:10" ht="14" thickBot="1">
      <c r="B38" s="5">
        <f t="shared" si="0"/>
        <v>42410</v>
      </c>
      <c r="C38" s="7" t="s">
        <v>3</v>
      </c>
      <c r="D38" s="7"/>
      <c r="E38" s="7"/>
      <c r="F38" s="7"/>
      <c r="G38" s="7"/>
      <c r="H38" s="7"/>
      <c r="I38" s="7" t="s">
        <v>11</v>
      </c>
      <c r="J38" s="396"/>
    </row>
    <row r="39" spans="2:10" ht="14" thickBot="1">
      <c r="B39" s="5">
        <f t="shared" si="0"/>
        <v>42411</v>
      </c>
      <c r="C39" s="6" t="s">
        <v>4</v>
      </c>
      <c r="D39" s="6"/>
      <c r="E39" s="6"/>
      <c r="F39" s="6"/>
      <c r="G39" s="6"/>
      <c r="H39" s="6"/>
      <c r="I39" s="6" t="s">
        <v>13</v>
      </c>
      <c r="J39" s="396"/>
    </row>
    <row r="40" spans="2:10" ht="14" thickBot="1">
      <c r="B40" s="5">
        <f t="shared" si="0"/>
        <v>42412</v>
      </c>
      <c r="C40" s="6" t="s">
        <v>5</v>
      </c>
      <c r="D40" s="6"/>
      <c r="E40" s="6"/>
      <c r="F40" s="6"/>
      <c r="G40" s="6"/>
      <c r="H40" s="6"/>
      <c r="I40" s="6" t="s">
        <v>9</v>
      </c>
      <c r="J40" s="396"/>
    </row>
    <row r="41" spans="2:10" ht="14" thickBot="1">
      <c r="B41" s="5">
        <f t="shared" si="0"/>
        <v>42413</v>
      </c>
      <c r="C41" s="6" t="s">
        <v>6</v>
      </c>
      <c r="D41" s="6"/>
      <c r="E41" s="6"/>
      <c r="F41" s="6"/>
      <c r="G41" s="6"/>
      <c r="H41" s="6"/>
      <c r="I41" s="6" t="s">
        <v>21</v>
      </c>
      <c r="J41" s="396"/>
    </row>
    <row r="42" spans="2:10" ht="14" thickBot="1">
      <c r="B42" s="5">
        <f t="shared" si="0"/>
        <v>42414</v>
      </c>
      <c r="C42" s="7" t="s">
        <v>7</v>
      </c>
      <c r="D42" s="7"/>
      <c r="E42" s="7"/>
      <c r="F42" s="7"/>
      <c r="G42" s="7"/>
      <c r="H42" s="7"/>
      <c r="I42" s="7" t="s">
        <v>14</v>
      </c>
      <c r="J42" s="396"/>
    </row>
    <row r="43" spans="2:10" ht="14" thickBot="1">
      <c r="B43" s="5">
        <f t="shared" si="0"/>
        <v>42415</v>
      </c>
      <c r="C43" s="6" t="s">
        <v>1</v>
      </c>
      <c r="G43" s="6"/>
      <c r="H43" s="6"/>
      <c r="I43" s="6" t="s">
        <v>9</v>
      </c>
      <c r="J43" s="396" t="s">
        <v>34</v>
      </c>
    </row>
    <row r="44" spans="2:10" ht="14" thickBot="1">
      <c r="B44" s="5">
        <f t="shared" si="0"/>
        <v>42416</v>
      </c>
      <c r="C44" s="6" t="s">
        <v>2</v>
      </c>
      <c r="D44" s="6" t="str">
        <f>D9</f>
        <v>1h15</v>
      </c>
      <c r="E44" s="6"/>
      <c r="F44" s="6"/>
      <c r="G44" s="6"/>
      <c r="H44" s="6"/>
      <c r="I44" s="6" t="s">
        <v>13</v>
      </c>
      <c r="J44" s="396"/>
    </row>
    <row r="45" spans="2:10" ht="14" thickBot="1">
      <c r="B45" s="5">
        <f t="shared" si="0"/>
        <v>42417</v>
      </c>
      <c r="C45" s="7" t="s">
        <v>3</v>
      </c>
      <c r="D45" s="7"/>
      <c r="E45" s="7"/>
      <c r="F45" s="7"/>
      <c r="G45" s="7"/>
      <c r="H45" s="7"/>
      <c r="I45" s="7" t="s">
        <v>11</v>
      </c>
      <c r="J45" s="396"/>
    </row>
    <row r="46" spans="2:10" ht="14" thickBot="1">
      <c r="B46" s="5">
        <f t="shared" si="0"/>
        <v>42418</v>
      </c>
      <c r="C46" s="6" t="s">
        <v>4</v>
      </c>
      <c r="D46" s="6"/>
      <c r="E46" s="6"/>
      <c r="F46" s="6"/>
      <c r="G46" s="6"/>
      <c r="H46" s="6"/>
      <c r="I46" s="6" t="s">
        <v>21</v>
      </c>
      <c r="J46" s="396"/>
    </row>
    <row r="47" spans="2:10" ht="14" thickBot="1">
      <c r="B47" s="5">
        <f t="shared" si="0"/>
        <v>42419</v>
      </c>
      <c r="C47" s="6" t="s">
        <v>5</v>
      </c>
      <c r="D47" s="6"/>
      <c r="E47" s="6"/>
      <c r="F47" s="6"/>
      <c r="G47" s="6"/>
      <c r="H47" s="6"/>
      <c r="I47" s="6" t="s">
        <v>9</v>
      </c>
      <c r="J47" s="396"/>
    </row>
    <row r="48" spans="2:10" ht="14" thickBot="1">
      <c r="B48" s="5">
        <f t="shared" si="0"/>
        <v>42420</v>
      </c>
      <c r="C48" s="6" t="s">
        <v>6</v>
      </c>
      <c r="D48" s="6"/>
      <c r="E48" s="6"/>
      <c r="F48" s="6"/>
      <c r="G48" s="6"/>
      <c r="H48" s="6"/>
      <c r="I48" s="6" t="s">
        <v>13</v>
      </c>
      <c r="J48" s="396"/>
    </row>
    <row r="49" spans="2:10" ht="14" thickBot="1">
      <c r="B49" s="5">
        <f t="shared" si="0"/>
        <v>42421</v>
      </c>
      <c r="C49" s="7" t="s">
        <v>7</v>
      </c>
      <c r="D49" s="7"/>
      <c r="E49" s="7"/>
      <c r="F49" s="7"/>
      <c r="G49" s="7"/>
      <c r="H49" s="7"/>
      <c r="I49" s="7" t="s">
        <v>14</v>
      </c>
      <c r="J49" s="396"/>
    </row>
    <row r="50" spans="2:10" ht="14" thickBot="1">
      <c r="B50" s="5">
        <f t="shared" si="0"/>
        <v>42422</v>
      </c>
      <c r="C50" s="6" t="s">
        <v>1</v>
      </c>
      <c r="D50" s="6"/>
      <c r="E50" s="6"/>
      <c r="F50" s="6"/>
      <c r="G50" s="6"/>
      <c r="H50" s="6"/>
      <c r="I50" s="6" t="s">
        <v>9</v>
      </c>
      <c r="J50" s="396" t="s">
        <v>35</v>
      </c>
    </row>
    <row r="51" spans="2:10" ht="14" thickBot="1">
      <c r="B51" s="5">
        <f t="shared" si="0"/>
        <v>42423</v>
      </c>
      <c r="C51" s="6" t="s">
        <v>2</v>
      </c>
      <c r="D51" s="6" t="s">
        <v>668</v>
      </c>
      <c r="E51" s="6"/>
      <c r="F51" s="6"/>
      <c r="G51" s="6"/>
      <c r="H51" s="6"/>
      <c r="I51" s="6" t="s">
        <v>28</v>
      </c>
      <c r="J51" s="396"/>
    </row>
    <row r="52" spans="2:10" ht="14" thickBot="1">
      <c r="B52" s="5">
        <f t="shared" si="0"/>
        <v>42424</v>
      </c>
      <c r="C52" s="7" t="s">
        <v>3</v>
      </c>
      <c r="D52" s="7"/>
      <c r="E52" s="7"/>
      <c r="F52" s="7"/>
      <c r="G52" s="7"/>
      <c r="H52" s="7"/>
      <c r="I52" s="7" t="s">
        <v>11</v>
      </c>
      <c r="J52" s="396"/>
    </row>
    <row r="53" spans="2:10" ht="14" thickBot="1">
      <c r="B53" s="5">
        <f t="shared" si="0"/>
        <v>42425</v>
      </c>
      <c r="C53" s="6" t="s">
        <v>4</v>
      </c>
      <c r="D53" s="6"/>
      <c r="E53" s="6"/>
      <c r="F53" s="6"/>
      <c r="G53" s="6"/>
      <c r="H53" s="6"/>
      <c r="I53" s="6" t="s">
        <v>13</v>
      </c>
      <c r="J53" s="396"/>
    </row>
    <row r="54" spans="2:10" ht="14" thickBot="1">
      <c r="B54" s="5">
        <f t="shared" si="0"/>
        <v>42426</v>
      </c>
      <c r="C54" s="6" t="s">
        <v>5</v>
      </c>
      <c r="D54" s="6"/>
      <c r="E54" s="6"/>
      <c r="F54" s="6"/>
      <c r="G54" s="6"/>
      <c r="H54" s="6"/>
      <c r="I54" s="6" t="s">
        <v>9</v>
      </c>
      <c r="J54" s="396"/>
    </row>
    <row r="55" spans="2:10" ht="14" thickBot="1">
      <c r="B55" s="5">
        <f t="shared" si="0"/>
        <v>42427</v>
      </c>
      <c r="C55" s="6" t="s">
        <v>6</v>
      </c>
      <c r="D55" s="6"/>
      <c r="E55" s="6"/>
      <c r="F55" s="6"/>
      <c r="G55" s="6"/>
      <c r="H55" s="6"/>
      <c r="I55" s="6" t="s">
        <v>29</v>
      </c>
      <c r="J55" s="396"/>
    </row>
    <row r="56" spans="2:10" ht="14" thickBot="1">
      <c r="B56" s="5">
        <f t="shared" si="0"/>
        <v>42428</v>
      </c>
      <c r="C56" s="7" t="s">
        <v>7</v>
      </c>
      <c r="D56" s="7"/>
      <c r="E56" s="7"/>
      <c r="F56" s="7"/>
      <c r="G56" s="7"/>
      <c r="H56" s="7"/>
      <c r="I56" s="7" t="s">
        <v>17</v>
      </c>
      <c r="J56" s="396"/>
    </row>
    <row r="57" spans="2:10" ht="14" thickBot="1">
      <c r="B57" s="5">
        <f t="shared" si="0"/>
        <v>42429</v>
      </c>
      <c r="C57" s="6" t="s">
        <v>1</v>
      </c>
      <c r="G57" s="6"/>
      <c r="H57" s="6"/>
      <c r="I57" s="6" t="s">
        <v>9</v>
      </c>
      <c r="J57" s="396" t="s">
        <v>36</v>
      </c>
    </row>
    <row r="58" spans="2:10" ht="14" thickBot="1">
      <c r="B58" s="5">
        <f t="shared" si="0"/>
        <v>42430</v>
      </c>
      <c r="C58" s="7" t="s">
        <v>2</v>
      </c>
      <c r="D58" s="6" t="s">
        <v>669</v>
      </c>
      <c r="E58" s="6"/>
      <c r="F58" s="6"/>
      <c r="G58" s="7"/>
      <c r="H58" s="7"/>
      <c r="I58" s="7" t="s">
        <v>11</v>
      </c>
      <c r="J58" s="396"/>
    </row>
    <row r="59" spans="2:10" ht="14" thickBot="1">
      <c r="B59" s="5">
        <f t="shared" si="0"/>
        <v>42431</v>
      </c>
      <c r="C59" s="6" t="s">
        <v>3</v>
      </c>
      <c r="D59" s="6"/>
      <c r="E59" s="6"/>
      <c r="F59" s="6"/>
      <c r="G59" s="6"/>
      <c r="H59" s="6"/>
      <c r="I59" s="6" t="s">
        <v>30</v>
      </c>
      <c r="J59" s="396"/>
    </row>
    <row r="60" spans="2:10" ht="14" thickBot="1">
      <c r="B60" s="5">
        <f t="shared" si="0"/>
        <v>42432</v>
      </c>
      <c r="C60" s="6" t="s">
        <v>4</v>
      </c>
      <c r="D60" s="6"/>
      <c r="E60" s="6"/>
      <c r="F60" s="6"/>
      <c r="G60" s="6"/>
      <c r="H60" s="6"/>
      <c r="I60" s="6" t="s">
        <v>11</v>
      </c>
      <c r="J60" s="396"/>
    </row>
    <row r="61" spans="2:10" ht="14" thickBot="1">
      <c r="B61" s="5">
        <f t="shared" si="0"/>
        <v>42433</v>
      </c>
      <c r="C61" s="6" t="s">
        <v>5</v>
      </c>
      <c r="D61" s="6"/>
      <c r="E61" s="6"/>
      <c r="F61" s="6"/>
      <c r="G61" s="6"/>
      <c r="H61" s="6"/>
      <c r="I61" s="6" t="s">
        <v>9</v>
      </c>
      <c r="J61" s="396"/>
    </row>
    <row r="62" spans="2:10" ht="14" thickBot="1">
      <c r="B62" s="5">
        <f t="shared" si="0"/>
        <v>42434</v>
      </c>
      <c r="C62" s="6" t="s">
        <v>6</v>
      </c>
      <c r="D62" s="6"/>
      <c r="E62" s="6"/>
      <c r="F62" s="6"/>
      <c r="G62" s="6"/>
      <c r="H62" s="6"/>
      <c r="I62" s="6" t="s">
        <v>13</v>
      </c>
      <c r="J62" s="396"/>
    </row>
    <row r="63" spans="2:10" ht="14" thickBot="1">
      <c r="B63" s="5">
        <f t="shared" si="0"/>
        <v>42435</v>
      </c>
      <c r="C63" s="7" t="s">
        <v>7</v>
      </c>
      <c r="D63" s="7"/>
      <c r="E63" s="7"/>
      <c r="F63" s="7"/>
      <c r="G63" s="7"/>
      <c r="H63" s="7"/>
      <c r="I63" s="7" t="s">
        <v>11</v>
      </c>
      <c r="J63" s="396"/>
    </row>
    <row r="64" spans="2:10" ht="14" thickBot="1">
      <c r="B64" s="5">
        <f t="shared" si="0"/>
        <v>42436</v>
      </c>
      <c r="C64" s="6" t="s">
        <v>1</v>
      </c>
      <c r="G64" s="6"/>
      <c r="H64" s="6"/>
      <c r="I64" s="6" t="s">
        <v>9</v>
      </c>
      <c r="J64" s="396" t="s">
        <v>37</v>
      </c>
    </row>
    <row r="65" spans="1:10" ht="14" thickBot="1">
      <c r="B65" s="5">
        <f t="shared" si="0"/>
        <v>42437</v>
      </c>
      <c r="C65" s="6" t="s">
        <v>2</v>
      </c>
      <c r="D65" s="6" t="s">
        <v>670</v>
      </c>
      <c r="E65" s="6"/>
      <c r="F65" s="6"/>
      <c r="G65" s="6"/>
      <c r="H65" s="6"/>
      <c r="I65" s="6" t="s">
        <v>31</v>
      </c>
      <c r="J65" s="396"/>
    </row>
    <row r="66" spans="1:10" ht="14" thickBot="1">
      <c r="B66" s="5">
        <f t="shared" si="0"/>
        <v>42438</v>
      </c>
      <c r="C66" s="6" t="s">
        <v>3</v>
      </c>
      <c r="D66" s="6"/>
      <c r="E66" s="6"/>
      <c r="F66" s="6"/>
      <c r="G66" s="6"/>
      <c r="H66" s="6"/>
      <c r="I66" s="6" t="s">
        <v>11</v>
      </c>
      <c r="J66" s="396"/>
    </row>
    <row r="67" spans="1:10" ht="14" thickBot="1">
      <c r="B67" s="5">
        <f t="shared" si="0"/>
        <v>42439</v>
      </c>
      <c r="C67" s="6" t="s">
        <v>4</v>
      </c>
      <c r="D67" s="6"/>
      <c r="E67" s="6"/>
      <c r="F67" s="6"/>
      <c r="G67" s="6"/>
      <c r="H67" s="6"/>
      <c r="I67" s="9" t="s">
        <v>32</v>
      </c>
      <c r="J67" s="396"/>
    </row>
    <row r="68" spans="1:10" ht="14" thickBot="1">
      <c r="B68" s="5">
        <f t="shared" si="0"/>
        <v>42440</v>
      </c>
      <c r="C68" s="6" t="s">
        <v>5</v>
      </c>
      <c r="D68" s="6"/>
      <c r="E68" s="6"/>
      <c r="F68" s="6"/>
      <c r="G68" s="6"/>
      <c r="H68" s="6"/>
      <c r="I68" s="6" t="s">
        <v>9</v>
      </c>
      <c r="J68" s="396"/>
    </row>
    <row r="69" spans="1:10" ht="14" thickBot="1">
      <c r="B69" s="5">
        <f>B70-1</f>
        <v>42441</v>
      </c>
      <c r="C69" s="8" t="s">
        <v>6</v>
      </c>
      <c r="D69" s="256"/>
      <c r="E69" s="256"/>
      <c r="F69" s="256"/>
      <c r="G69" s="256"/>
      <c r="H69" s="256"/>
      <c r="I69" s="10" t="s">
        <v>33</v>
      </c>
      <c r="J69" s="396"/>
    </row>
    <row r="70" spans="1:10" ht="14" thickBot="1">
      <c r="A70" s="2"/>
      <c r="B70" s="34">
        <v>42442</v>
      </c>
      <c r="C70" s="7" t="s">
        <v>7</v>
      </c>
      <c r="D70" s="7"/>
      <c r="E70" s="7"/>
      <c r="F70" s="7"/>
      <c r="G70" s="7"/>
      <c r="H70" s="7"/>
      <c r="I70" s="1" t="s">
        <v>644</v>
      </c>
      <c r="J70" s="396"/>
    </row>
  </sheetData>
  <mergeCells count="18">
    <mergeCell ref="B5:U5"/>
    <mergeCell ref="B2:U2"/>
    <mergeCell ref="B6:B7"/>
    <mergeCell ref="C6:C7"/>
    <mergeCell ref="D6:G6"/>
    <mergeCell ref="J6:J7"/>
    <mergeCell ref="H6:I6"/>
    <mergeCell ref="J43:J49"/>
    <mergeCell ref="J50:J56"/>
    <mergeCell ref="J57:J63"/>
    <mergeCell ref="J64:J70"/>
    <mergeCell ref="J36:J42"/>
    <mergeCell ref="M17:N17"/>
    <mergeCell ref="J8:J14"/>
    <mergeCell ref="J15:J21"/>
    <mergeCell ref="J22:J28"/>
    <mergeCell ref="J29:J35"/>
    <mergeCell ref="M21:N2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0"/>
  <sheetViews>
    <sheetView showGridLines="0" topLeftCell="H6" workbookViewId="0">
      <selection activeCell="T23" sqref="T23"/>
    </sheetView>
  </sheetViews>
  <sheetFormatPr baseColWidth="10" defaultRowHeight="12" x14ac:dyDescent="0"/>
  <cols>
    <col min="1" max="1" width="14.33203125" customWidth="1"/>
    <col min="2" max="2" width="15.83203125" style="3" customWidth="1"/>
    <col min="5" max="5" width="29.83203125" customWidth="1"/>
    <col min="6" max="7" width="22.5" customWidth="1"/>
    <col min="8" max="8" width="15.33203125" bestFit="1" customWidth="1"/>
    <col min="10" max="10" width="35" customWidth="1"/>
    <col min="11" max="11" width="14" customWidth="1"/>
    <col min="13" max="13" width="6.83203125" customWidth="1"/>
    <col min="14" max="14" width="39" customWidth="1"/>
    <col min="15" max="15" width="17" customWidth="1"/>
    <col min="17" max="17" width="21" customWidth="1"/>
    <col min="18" max="18" width="16.6640625" customWidth="1"/>
    <col min="19" max="19" width="13.33203125" bestFit="1" customWidth="1"/>
    <col min="20" max="20" width="15" customWidth="1"/>
    <col min="21" max="21" width="15.6640625" customWidth="1"/>
    <col min="22" max="22" width="14.6640625" customWidth="1"/>
    <col min="23" max="23" width="11.33203125" bestFit="1" customWidth="1"/>
    <col min="25" max="25" width="17.33203125" customWidth="1"/>
    <col min="26" max="26" width="25" customWidth="1"/>
    <col min="27" max="27" width="25.1640625" customWidth="1"/>
  </cols>
  <sheetData>
    <row r="1" spans="2:27" ht="13" thickBot="1"/>
    <row r="2" spans="2:27" ht="23" customHeight="1" thickBot="1">
      <c r="B2" s="398" t="s">
        <v>166</v>
      </c>
      <c r="C2" s="399"/>
      <c r="D2" s="399"/>
      <c r="E2" s="399"/>
      <c r="F2" s="399"/>
      <c r="G2" s="399"/>
      <c r="H2" s="399"/>
      <c r="I2" s="399"/>
      <c r="J2" s="399"/>
      <c r="K2" s="399"/>
      <c r="L2" s="399"/>
      <c r="M2" s="399"/>
      <c r="N2" s="399"/>
      <c r="O2" s="399"/>
      <c r="P2" s="399"/>
      <c r="Q2" s="399"/>
      <c r="R2" s="399"/>
      <c r="S2" s="399"/>
      <c r="T2" s="399"/>
      <c r="U2" s="399"/>
      <c r="V2" s="400"/>
    </row>
    <row r="5" spans="2:27" ht="13" thickBot="1">
      <c r="B5" s="397" t="s">
        <v>656</v>
      </c>
      <c r="C5" s="397"/>
      <c r="D5" s="397"/>
      <c r="E5" s="397"/>
      <c r="F5" s="397"/>
      <c r="G5" s="397"/>
      <c r="H5" s="397"/>
      <c r="I5" s="397"/>
      <c r="J5" s="397"/>
      <c r="K5" s="397"/>
      <c r="L5" s="397"/>
      <c r="M5" s="397"/>
      <c r="N5" s="397"/>
      <c r="O5" s="397"/>
      <c r="P5" s="397"/>
      <c r="Q5" s="397"/>
      <c r="R5" s="397"/>
      <c r="S5" s="397"/>
      <c r="T5" s="397"/>
      <c r="U5" s="397"/>
      <c r="V5" s="397"/>
    </row>
    <row r="6" spans="2:27" ht="26" customHeight="1" thickBot="1">
      <c r="B6" s="401" t="s">
        <v>75</v>
      </c>
      <c r="C6" s="402" t="s">
        <v>0</v>
      </c>
      <c r="D6" s="402" t="s">
        <v>671</v>
      </c>
      <c r="E6" s="402"/>
      <c r="F6" s="402"/>
      <c r="G6" s="402"/>
      <c r="H6" s="402"/>
      <c r="I6" s="403" t="s">
        <v>486</v>
      </c>
      <c r="J6" s="404"/>
      <c r="K6" s="402" t="s">
        <v>22</v>
      </c>
    </row>
    <row r="7" spans="2:27" s="3" customFormat="1" ht="32" customHeight="1" thickBot="1">
      <c r="B7" s="401"/>
      <c r="C7" s="402"/>
      <c r="D7" s="274" t="s">
        <v>667</v>
      </c>
      <c r="E7" s="274" t="s">
        <v>672</v>
      </c>
      <c r="F7" s="274" t="s">
        <v>697</v>
      </c>
      <c r="G7" s="274" t="s">
        <v>698</v>
      </c>
      <c r="H7" s="274" t="s">
        <v>93</v>
      </c>
      <c r="I7" s="274" t="s">
        <v>667</v>
      </c>
      <c r="J7" s="274" t="s">
        <v>8</v>
      </c>
      <c r="K7" s="402"/>
      <c r="N7" s="274" t="s">
        <v>38</v>
      </c>
      <c r="O7" s="274" t="s">
        <v>61</v>
      </c>
      <c r="Q7" s="258" t="s">
        <v>168</v>
      </c>
      <c r="R7" s="258" t="s">
        <v>646</v>
      </c>
      <c r="S7" s="258" t="s">
        <v>647</v>
      </c>
      <c r="T7" s="259" t="s">
        <v>653</v>
      </c>
      <c r="U7" s="259" t="s">
        <v>654</v>
      </c>
      <c r="V7" s="258" t="s">
        <v>365</v>
      </c>
      <c r="W7" s="258" t="s">
        <v>661</v>
      </c>
      <c r="Z7" s="398" t="s">
        <v>700</v>
      </c>
      <c r="AA7" s="399"/>
    </row>
    <row r="8" spans="2:27" ht="14" thickBot="1">
      <c r="B8" s="5">
        <f t="shared" ref="B8:B68" si="0">B9-1</f>
        <v>42380</v>
      </c>
      <c r="C8" s="6" t="s">
        <v>1</v>
      </c>
      <c r="D8" s="6">
        <v>0</v>
      </c>
      <c r="E8" s="6"/>
      <c r="F8" s="6"/>
      <c r="G8" s="6"/>
      <c r="H8" s="6"/>
      <c r="I8" s="6"/>
      <c r="K8" s="396" t="s">
        <v>23</v>
      </c>
      <c r="N8" s="273" t="s">
        <v>39</v>
      </c>
      <c r="O8" s="273" t="s">
        <v>62</v>
      </c>
      <c r="Q8" s="273" t="s">
        <v>648</v>
      </c>
      <c r="R8" s="260">
        <v>13.33</v>
      </c>
      <c r="S8" s="4" t="s">
        <v>651</v>
      </c>
      <c r="T8" s="190"/>
      <c r="U8" s="190"/>
      <c r="V8" s="190">
        <f>R8/U11*100</f>
        <v>98.46022727272728</v>
      </c>
      <c r="W8" s="261">
        <v>2.9861111111111113E-2</v>
      </c>
      <c r="Z8" s="258" t="s">
        <v>701</v>
      </c>
      <c r="AA8" s="258" t="s">
        <v>79</v>
      </c>
    </row>
    <row r="9" spans="2:27" ht="14" thickBot="1">
      <c r="B9" s="5">
        <f t="shared" si="0"/>
        <v>42381</v>
      </c>
      <c r="C9" s="6" t="s">
        <v>2</v>
      </c>
      <c r="D9" s="6" t="s">
        <v>668</v>
      </c>
      <c r="E9" s="6"/>
      <c r="F9" s="6" t="s">
        <v>652</v>
      </c>
      <c r="G9" s="6"/>
      <c r="H9" s="6" t="s">
        <v>674</v>
      </c>
      <c r="I9" s="6"/>
      <c r="K9" s="396"/>
      <c r="N9" s="273" t="s">
        <v>40</v>
      </c>
      <c r="O9" s="273" t="s">
        <v>62</v>
      </c>
      <c r="Q9" s="273" t="s">
        <v>649</v>
      </c>
      <c r="R9" s="260">
        <v>12</v>
      </c>
      <c r="S9" s="4" t="s">
        <v>650</v>
      </c>
      <c r="T9" s="190"/>
      <c r="U9" s="190"/>
      <c r="V9" s="190">
        <f>R9/U12*100</f>
        <v>85.714285714285694</v>
      </c>
      <c r="W9" s="261">
        <v>7.3263888888888892E-2</v>
      </c>
      <c r="Z9" s="18" t="s">
        <v>702</v>
      </c>
      <c r="AA9" s="18" t="s">
        <v>705</v>
      </c>
    </row>
    <row r="10" spans="2:27" ht="14" thickBot="1">
      <c r="B10" s="5">
        <f t="shared" si="0"/>
        <v>42382</v>
      </c>
      <c r="C10" s="7" t="s">
        <v>3</v>
      </c>
      <c r="D10" s="7">
        <v>0</v>
      </c>
      <c r="E10" s="7"/>
      <c r="F10" s="7"/>
      <c r="G10" s="7"/>
      <c r="H10" s="7"/>
      <c r="I10" s="7"/>
      <c r="K10" s="396"/>
      <c r="N10" s="273" t="s">
        <v>41</v>
      </c>
      <c r="O10" s="273" t="s">
        <v>63</v>
      </c>
      <c r="Q10" s="273"/>
      <c r="R10" s="273"/>
      <c r="S10" s="28"/>
      <c r="T10" s="190"/>
      <c r="U10" s="190"/>
      <c r="V10" s="190"/>
      <c r="W10" s="262">
        <v>0.15625</v>
      </c>
      <c r="Z10" s="18" t="s">
        <v>261</v>
      </c>
      <c r="AA10" s="18" t="s">
        <v>704</v>
      </c>
    </row>
    <row r="11" spans="2:27" ht="14" thickBot="1">
      <c r="B11" s="5">
        <f t="shared" si="0"/>
        <v>42383</v>
      </c>
      <c r="C11" s="6" t="s">
        <v>4</v>
      </c>
      <c r="D11" s="7">
        <v>0</v>
      </c>
      <c r="E11" s="7" t="s">
        <v>694</v>
      </c>
      <c r="F11" s="7" t="s">
        <v>695</v>
      </c>
      <c r="G11" s="7" t="s">
        <v>699</v>
      </c>
      <c r="H11" s="7"/>
      <c r="I11" s="7"/>
      <c r="K11" s="396"/>
      <c r="N11" s="273" t="s">
        <v>42</v>
      </c>
      <c r="O11" s="273" t="s">
        <v>64</v>
      </c>
      <c r="Q11" s="273" t="s">
        <v>652</v>
      </c>
      <c r="R11" s="260">
        <v>8.8000000000000007</v>
      </c>
      <c r="S11" s="28"/>
      <c r="T11" s="190">
        <f>R11/0.7</f>
        <v>12.571428571428573</v>
      </c>
      <c r="U11" s="190">
        <f>R11/0.65</f>
        <v>13.538461538461538</v>
      </c>
      <c r="V11" s="190"/>
      <c r="W11" s="28"/>
      <c r="Z11" s="18" t="s">
        <v>703</v>
      </c>
      <c r="AA11" s="18" t="s">
        <v>706</v>
      </c>
    </row>
    <row r="12" spans="2:27" ht="14" thickBot="1">
      <c r="B12" s="5">
        <f t="shared" si="0"/>
        <v>42384</v>
      </c>
      <c r="C12" s="6" t="s">
        <v>5</v>
      </c>
      <c r="D12" s="6"/>
      <c r="E12" s="6"/>
      <c r="F12" s="6"/>
      <c r="G12" s="6"/>
      <c r="H12" s="6"/>
      <c r="I12" s="6"/>
      <c r="K12" s="396"/>
      <c r="N12" s="273" t="s">
        <v>43</v>
      </c>
      <c r="O12" s="273" t="s">
        <v>65</v>
      </c>
      <c r="Q12" s="273" t="s">
        <v>655</v>
      </c>
      <c r="R12" s="260">
        <v>9.8000000000000007</v>
      </c>
      <c r="S12" s="28"/>
      <c r="T12" s="190">
        <f>R12/0.75</f>
        <v>13.066666666666668</v>
      </c>
      <c r="U12" s="190">
        <f>R12/0.7</f>
        <v>14.000000000000002</v>
      </c>
      <c r="V12" s="190"/>
      <c r="W12" s="28"/>
    </row>
    <row r="13" spans="2:27" ht="14" thickBot="1">
      <c r="B13" s="5">
        <f t="shared" si="0"/>
        <v>42385</v>
      </c>
      <c r="C13" s="6" t="s">
        <v>6</v>
      </c>
      <c r="D13" s="6"/>
      <c r="E13" s="6"/>
      <c r="F13" s="6"/>
      <c r="G13" s="6"/>
      <c r="H13" s="6"/>
      <c r="I13" s="6"/>
      <c r="K13" s="396"/>
      <c r="N13" s="273" t="s">
        <v>44</v>
      </c>
      <c r="O13" s="273" t="s">
        <v>64</v>
      </c>
      <c r="Q13" s="273" t="s">
        <v>657</v>
      </c>
      <c r="R13" s="273">
        <f>U13*0.75</f>
        <v>12</v>
      </c>
      <c r="S13" s="28"/>
      <c r="T13" s="190"/>
      <c r="U13" s="260">
        <v>16</v>
      </c>
      <c r="V13" s="190"/>
      <c r="W13" s="28"/>
      <c r="Z13" s="18" t="s">
        <v>724</v>
      </c>
      <c r="AA13" s="18" t="s">
        <v>728</v>
      </c>
    </row>
    <row r="14" spans="2:27" ht="14" thickBot="1">
      <c r="B14" s="5">
        <f t="shared" si="0"/>
        <v>42386</v>
      </c>
      <c r="C14" s="7" t="s">
        <v>7</v>
      </c>
      <c r="D14" s="7"/>
      <c r="E14" s="7"/>
      <c r="F14" s="7"/>
      <c r="G14" s="7"/>
      <c r="H14" s="7"/>
      <c r="I14" s="7"/>
      <c r="K14" s="396"/>
      <c r="N14" s="273" t="s">
        <v>45</v>
      </c>
      <c r="O14" s="273" t="s">
        <v>65</v>
      </c>
      <c r="Q14" s="273" t="s">
        <v>658</v>
      </c>
      <c r="R14" s="190">
        <f>U14*0.7</f>
        <v>11.2</v>
      </c>
      <c r="S14" s="24"/>
      <c r="T14" s="24"/>
      <c r="U14" s="260">
        <v>16</v>
      </c>
      <c r="V14" s="24"/>
      <c r="W14" s="24"/>
      <c r="Z14" s="18" t="s">
        <v>729</v>
      </c>
      <c r="AA14" s="18" t="s">
        <v>727</v>
      </c>
    </row>
    <row r="15" spans="2:27" ht="13" customHeight="1" thickBot="1">
      <c r="B15" s="5">
        <f t="shared" si="0"/>
        <v>42387</v>
      </c>
      <c r="C15" s="6" t="s">
        <v>1</v>
      </c>
      <c r="H15" s="6"/>
      <c r="I15" s="6"/>
      <c r="K15" s="396" t="s">
        <v>24</v>
      </c>
      <c r="N15" s="273" t="s">
        <v>46</v>
      </c>
      <c r="O15" s="263"/>
      <c r="Q15" s="273" t="s">
        <v>659</v>
      </c>
      <c r="R15" s="190">
        <f>R13-1</f>
        <v>11</v>
      </c>
      <c r="S15" s="28"/>
      <c r="T15" s="190">
        <f>R15/0.7</f>
        <v>15.714285714285715</v>
      </c>
      <c r="U15" s="190">
        <f>R15/0.65</f>
        <v>16.923076923076923</v>
      </c>
      <c r="V15" s="190"/>
      <c r="W15" s="28"/>
    </row>
    <row r="16" spans="2:27" ht="14" thickBot="1">
      <c r="B16" s="5">
        <f t="shared" si="0"/>
        <v>42388</v>
      </c>
      <c r="C16" s="6" t="s">
        <v>2</v>
      </c>
      <c r="D16" s="6" t="s">
        <v>689</v>
      </c>
      <c r="E16" s="6"/>
      <c r="F16" s="6" t="s">
        <v>652</v>
      </c>
      <c r="G16" s="6"/>
      <c r="H16" s="6"/>
      <c r="I16" s="6"/>
      <c r="K16" s="396"/>
      <c r="N16" s="273" t="s">
        <v>47</v>
      </c>
      <c r="O16" s="273" t="s">
        <v>62</v>
      </c>
      <c r="Q16" s="273" t="s">
        <v>660</v>
      </c>
      <c r="R16" s="190">
        <f>R14-1</f>
        <v>10.199999999999999</v>
      </c>
      <c r="S16" s="28"/>
      <c r="T16" s="190">
        <f>R16/0.75</f>
        <v>13.6</v>
      </c>
      <c r="U16" s="190">
        <f>R16/0.7</f>
        <v>14.571428571428571</v>
      </c>
      <c r="V16" s="190"/>
      <c r="W16" s="28"/>
    </row>
    <row r="17" spans="2:23" ht="14" thickBot="1">
      <c r="B17" s="5">
        <f t="shared" si="0"/>
        <v>42389</v>
      </c>
      <c r="C17" s="7" t="s">
        <v>3</v>
      </c>
      <c r="D17" s="7">
        <v>0</v>
      </c>
      <c r="E17" s="7" t="s">
        <v>694</v>
      </c>
      <c r="F17" s="7"/>
      <c r="G17" s="7"/>
      <c r="H17" s="7"/>
      <c r="I17" s="7"/>
      <c r="K17" s="396"/>
      <c r="N17" s="395" t="s">
        <v>48</v>
      </c>
      <c r="O17" s="395"/>
      <c r="Q17" s="24"/>
      <c r="R17" s="24"/>
      <c r="S17" s="24"/>
      <c r="T17" s="24"/>
      <c r="U17" s="24"/>
      <c r="V17" s="24"/>
      <c r="W17" s="24"/>
    </row>
    <row r="18" spans="2:23" ht="14" thickBot="1">
      <c r="B18" s="5">
        <f t="shared" si="0"/>
        <v>42390</v>
      </c>
      <c r="C18" s="6" t="s">
        <v>4</v>
      </c>
      <c r="D18" s="6"/>
      <c r="E18" s="6"/>
      <c r="F18" s="6"/>
      <c r="G18" s="6"/>
      <c r="H18" s="6"/>
      <c r="I18" s="6"/>
      <c r="K18" s="396"/>
      <c r="N18" s="273" t="s">
        <v>49</v>
      </c>
      <c r="O18" s="264" t="s">
        <v>67</v>
      </c>
      <c r="Q18" s="24"/>
      <c r="R18" s="24"/>
      <c r="S18" s="24"/>
      <c r="T18" s="24"/>
      <c r="U18" s="24"/>
      <c r="V18" s="24"/>
      <c r="W18" s="24"/>
    </row>
    <row r="19" spans="2:23" ht="14" thickBot="1">
      <c r="B19" s="5">
        <f t="shared" si="0"/>
        <v>42391</v>
      </c>
      <c r="C19" s="6" t="s">
        <v>5</v>
      </c>
      <c r="D19" s="6"/>
      <c r="E19" s="6"/>
      <c r="F19" s="6"/>
      <c r="G19" s="6"/>
      <c r="H19" s="6"/>
      <c r="I19" s="6"/>
      <c r="K19" s="396"/>
      <c r="N19" s="273" t="s">
        <v>50</v>
      </c>
      <c r="O19" s="264" t="s">
        <v>68</v>
      </c>
    </row>
    <row r="20" spans="2:23" ht="14" thickBot="1">
      <c r="B20" s="5">
        <f t="shared" si="0"/>
        <v>42392</v>
      </c>
      <c r="C20" s="273" t="s">
        <v>6</v>
      </c>
      <c r="D20" s="273"/>
      <c r="E20" s="273"/>
      <c r="F20" s="273"/>
      <c r="G20" s="273"/>
      <c r="H20" s="273"/>
      <c r="I20" s="273"/>
      <c r="K20" s="396"/>
      <c r="N20" s="273" t="s">
        <v>51</v>
      </c>
      <c r="O20" s="264" t="s">
        <v>69</v>
      </c>
    </row>
    <row r="21" spans="2:23" ht="14" thickBot="1">
      <c r="B21" s="5">
        <f t="shared" si="0"/>
        <v>42393</v>
      </c>
      <c r="C21" s="7" t="s">
        <v>7</v>
      </c>
      <c r="D21" s="7"/>
      <c r="E21" s="7"/>
      <c r="F21" s="7"/>
      <c r="G21" s="7"/>
      <c r="H21" s="7"/>
      <c r="I21" s="7"/>
      <c r="K21" s="396"/>
      <c r="N21" s="395" t="s">
        <v>52</v>
      </c>
      <c r="O21" s="395"/>
      <c r="Q21" s="258" t="s">
        <v>662</v>
      </c>
      <c r="R21" s="258" t="s">
        <v>365</v>
      </c>
      <c r="S21" s="258" t="s">
        <v>646</v>
      </c>
      <c r="T21" s="282" t="s">
        <v>647</v>
      </c>
      <c r="U21" s="282" t="s">
        <v>737</v>
      </c>
      <c r="V21" s="282" t="s">
        <v>741</v>
      </c>
      <c r="W21" s="282" t="s">
        <v>738</v>
      </c>
    </row>
    <row r="22" spans="2:23" ht="14" thickBot="1">
      <c r="B22" s="5">
        <f t="shared" si="0"/>
        <v>42394</v>
      </c>
      <c r="C22" s="6" t="s">
        <v>1</v>
      </c>
      <c r="D22" s="6"/>
      <c r="E22" s="6"/>
      <c r="F22" s="6"/>
      <c r="G22" s="6"/>
      <c r="H22" s="6"/>
      <c r="I22" s="6"/>
      <c r="K22" s="396" t="s">
        <v>25</v>
      </c>
      <c r="N22" s="273" t="s">
        <v>53</v>
      </c>
      <c r="O22" s="273" t="s">
        <v>70</v>
      </c>
      <c r="Q22" s="273" t="s">
        <v>180</v>
      </c>
      <c r="R22" s="281"/>
      <c r="S22" s="260">
        <v>16</v>
      </c>
      <c r="T22" s="4" t="str">
        <f>CONCATENATE(ROUNDDOWN(60/S22,0),"'",ROUNDUP(60*((60/S22)-ROUNDDOWN(60/S22,0)),0),"''")</f>
        <v>3'45''</v>
      </c>
      <c r="U22" s="28"/>
      <c r="V22" s="28"/>
      <c r="W22" s="28"/>
    </row>
    <row r="23" spans="2:23" ht="14" thickBot="1">
      <c r="B23" s="5">
        <f t="shared" si="0"/>
        <v>42395</v>
      </c>
      <c r="C23" s="6" t="s">
        <v>2</v>
      </c>
      <c r="D23" s="6" t="s">
        <v>691</v>
      </c>
      <c r="E23" s="6"/>
      <c r="F23" s="6" t="s">
        <v>652</v>
      </c>
      <c r="G23" s="6"/>
      <c r="H23" s="6"/>
      <c r="I23" s="6"/>
      <c r="K23" s="396"/>
      <c r="N23" s="273" t="s">
        <v>54</v>
      </c>
      <c r="O23" s="273" t="s">
        <v>70</v>
      </c>
      <c r="Q23" s="273" t="s">
        <v>648</v>
      </c>
      <c r="R23" s="281"/>
      <c r="S23" s="260">
        <v>13.33</v>
      </c>
      <c r="T23" s="4" t="str">
        <f t="shared" ref="T23:T28" si="1">CONCATENATE(ROUNDDOWN(60/S23,0),"'",ROUNDUP(60*((60/S23)-ROUNDDOWN(60/S23,0)),0),"''")</f>
        <v>4'31''</v>
      </c>
      <c r="U23" s="28"/>
      <c r="V23" s="28"/>
      <c r="W23" s="28"/>
    </row>
    <row r="24" spans="2:23" ht="14" thickBot="1">
      <c r="B24" s="5">
        <f t="shared" si="0"/>
        <v>42396</v>
      </c>
      <c r="C24" s="7" t="s">
        <v>3</v>
      </c>
      <c r="D24" s="7">
        <v>0</v>
      </c>
      <c r="E24" s="7"/>
      <c r="F24" s="7"/>
      <c r="G24" s="7"/>
      <c r="H24" s="7"/>
      <c r="I24" s="7"/>
      <c r="K24" s="396"/>
      <c r="N24" s="273" t="s">
        <v>55</v>
      </c>
      <c r="O24" s="273" t="s">
        <v>71</v>
      </c>
      <c r="Q24" s="273" t="s">
        <v>649</v>
      </c>
      <c r="R24" s="281"/>
      <c r="S24" s="260">
        <v>12</v>
      </c>
      <c r="T24" s="4" t="str">
        <f t="shared" si="1"/>
        <v>5'0''</v>
      </c>
      <c r="U24" s="28"/>
      <c r="V24" s="28"/>
      <c r="W24" s="28"/>
    </row>
    <row r="25" spans="2:23" ht="14" thickBot="1">
      <c r="B25" s="5">
        <f t="shared" si="0"/>
        <v>42397</v>
      </c>
      <c r="C25" s="6" t="s">
        <v>4</v>
      </c>
      <c r="D25" s="6"/>
      <c r="E25" s="6"/>
      <c r="F25" s="6"/>
      <c r="G25" s="6"/>
      <c r="H25" s="6"/>
      <c r="I25" s="6"/>
      <c r="K25" s="396"/>
      <c r="N25" s="273" t="s">
        <v>56</v>
      </c>
      <c r="O25" s="273" t="s">
        <v>72</v>
      </c>
      <c r="Q25" s="273" t="s">
        <v>652</v>
      </c>
      <c r="R25" s="281" t="s">
        <v>735</v>
      </c>
      <c r="S25" s="260">
        <v>10.4</v>
      </c>
      <c r="T25" s="4" t="str">
        <f t="shared" si="1"/>
        <v>5'47''</v>
      </c>
      <c r="U25" s="4" t="s">
        <v>743</v>
      </c>
      <c r="V25" s="4" t="s">
        <v>742</v>
      </c>
      <c r="W25" s="4" t="s">
        <v>744</v>
      </c>
    </row>
    <row r="26" spans="2:23" ht="14" thickBot="1">
      <c r="B26" s="5">
        <f t="shared" si="0"/>
        <v>42398</v>
      </c>
      <c r="C26" s="6" t="s">
        <v>5</v>
      </c>
      <c r="D26" s="6"/>
      <c r="E26" s="6"/>
      <c r="F26" s="6"/>
      <c r="G26" s="6"/>
      <c r="H26" s="6"/>
      <c r="I26" s="6"/>
      <c r="K26" s="396"/>
      <c r="N26" s="273" t="s">
        <v>57</v>
      </c>
      <c r="O26" s="273" t="s">
        <v>71</v>
      </c>
      <c r="Q26" s="273" t="s">
        <v>655</v>
      </c>
      <c r="R26" s="281" t="s">
        <v>736</v>
      </c>
      <c r="S26" s="260">
        <f>11.2</f>
        <v>11.2</v>
      </c>
      <c r="T26" s="4" t="str">
        <f t="shared" si="1"/>
        <v>5'22''</v>
      </c>
      <c r="U26" s="4" t="s">
        <v>747</v>
      </c>
      <c r="V26" s="4" t="s">
        <v>746</v>
      </c>
      <c r="W26" s="4" t="s">
        <v>745</v>
      </c>
    </row>
    <row r="27" spans="2:23" ht="14" thickBot="1">
      <c r="B27" s="5">
        <f t="shared" si="0"/>
        <v>42399</v>
      </c>
      <c r="C27" s="6" t="s">
        <v>6</v>
      </c>
      <c r="D27" s="6"/>
      <c r="E27" s="6"/>
      <c r="F27" s="6"/>
      <c r="G27" s="6"/>
      <c r="H27" s="6"/>
      <c r="I27" s="6"/>
      <c r="K27" s="396"/>
      <c r="N27" s="273" t="s">
        <v>58</v>
      </c>
      <c r="O27" s="273" t="s">
        <v>71</v>
      </c>
      <c r="Q27" s="273" t="s">
        <v>644</v>
      </c>
      <c r="R27" s="281"/>
      <c r="S27" s="260">
        <v>12</v>
      </c>
      <c r="T27" s="4" t="s">
        <v>1491</v>
      </c>
      <c r="U27" s="28"/>
      <c r="V27" s="28"/>
      <c r="W27" s="28"/>
    </row>
    <row r="28" spans="2:23" ht="14" thickBot="1">
      <c r="B28" s="5">
        <f t="shared" si="0"/>
        <v>42400</v>
      </c>
      <c r="C28" s="7" t="s">
        <v>7</v>
      </c>
      <c r="D28" s="7"/>
      <c r="E28" s="7"/>
      <c r="F28" s="7"/>
      <c r="G28" s="7"/>
      <c r="H28" s="7"/>
      <c r="I28" s="7"/>
      <c r="K28" s="396"/>
      <c r="N28" s="273" t="s">
        <v>59</v>
      </c>
      <c r="O28" s="273" t="s">
        <v>73</v>
      </c>
      <c r="Q28" s="273" t="s">
        <v>696</v>
      </c>
      <c r="R28" s="281"/>
      <c r="S28" s="260">
        <v>4</v>
      </c>
      <c r="T28" s="4" t="str">
        <f t="shared" si="1"/>
        <v>15'0''</v>
      </c>
      <c r="U28" s="28"/>
      <c r="V28" s="28"/>
      <c r="W28" s="28"/>
    </row>
    <row r="29" spans="2:23" ht="14" thickBot="1">
      <c r="B29" s="5">
        <f t="shared" si="0"/>
        <v>42401</v>
      </c>
      <c r="C29" s="6" t="s">
        <v>1</v>
      </c>
      <c r="H29" s="6"/>
      <c r="I29" s="6"/>
      <c r="K29" s="396" t="s">
        <v>26</v>
      </c>
      <c r="N29" s="273" t="s">
        <v>60</v>
      </c>
      <c r="O29" s="273" t="s">
        <v>74</v>
      </c>
      <c r="Q29" s="281" t="s">
        <v>734</v>
      </c>
      <c r="R29" s="281" t="s">
        <v>734</v>
      </c>
      <c r="S29" s="260">
        <v>13</v>
      </c>
      <c r="T29" s="4" t="str">
        <f t="shared" ref="T29:T34" si="2">CONCATENATE(ROUNDDOWN(60/S29,0),"'",ROUNDUP(60*((60/S29)-ROUNDDOWN(60/S29,0)),0),"''")</f>
        <v>4'37''</v>
      </c>
      <c r="U29" s="4" t="s">
        <v>749</v>
      </c>
      <c r="V29" s="4" t="s">
        <v>748</v>
      </c>
      <c r="W29" s="4" t="s">
        <v>750</v>
      </c>
    </row>
    <row r="30" spans="2:23" ht="14" thickBot="1">
      <c r="B30" s="5">
        <f t="shared" si="0"/>
        <v>42402</v>
      </c>
      <c r="C30" s="7" t="s">
        <v>2</v>
      </c>
      <c r="D30" s="6" t="s">
        <v>692</v>
      </c>
      <c r="E30" s="6"/>
      <c r="F30" s="6" t="s">
        <v>652</v>
      </c>
      <c r="G30" s="6"/>
      <c r="H30" s="7"/>
      <c r="I30" s="7"/>
      <c r="K30" s="396"/>
      <c r="Q30" s="281" t="s">
        <v>730</v>
      </c>
      <c r="R30" s="281"/>
      <c r="S30" s="260">
        <f>0.85*$S$22</f>
        <v>13.6</v>
      </c>
      <c r="T30" s="4" t="str">
        <f t="shared" si="2"/>
        <v>4'25''</v>
      </c>
      <c r="U30" s="28"/>
      <c r="V30" s="28"/>
      <c r="W30" s="28"/>
    </row>
    <row r="31" spans="2:23" ht="14" thickBot="1">
      <c r="B31" s="5">
        <f t="shared" si="0"/>
        <v>42403</v>
      </c>
      <c r="C31" s="6" t="s">
        <v>3</v>
      </c>
      <c r="D31" s="7">
        <v>0</v>
      </c>
      <c r="E31" s="6"/>
      <c r="F31" s="6"/>
      <c r="G31" s="6"/>
      <c r="H31" s="6"/>
      <c r="I31" s="6"/>
      <c r="K31" s="396"/>
      <c r="Q31" s="281" t="s">
        <v>731</v>
      </c>
      <c r="R31" s="281"/>
      <c r="S31" s="260">
        <f>0.8*$S$22</f>
        <v>12.8</v>
      </c>
      <c r="T31" s="4" t="str">
        <f t="shared" si="2"/>
        <v>4'42''</v>
      </c>
      <c r="U31" s="28"/>
      <c r="V31" s="28"/>
      <c r="W31" s="28"/>
    </row>
    <row r="32" spans="2:23" ht="14" thickBot="1">
      <c r="B32" s="5">
        <f t="shared" si="0"/>
        <v>42404</v>
      </c>
      <c r="C32" s="6" t="s">
        <v>4</v>
      </c>
      <c r="D32" s="6"/>
      <c r="E32" s="6"/>
      <c r="F32" s="6"/>
      <c r="G32" s="6"/>
      <c r="H32" s="6"/>
      <c r="I32" s="6"/>
      <c r="K32" s="396"/>
      <c r="Q32" s="281" t="s">
        <v>739</v>
      </c>
      <c r="R32" s="281"/>
      <c r="S32" s="260">
        <f>0.75*$S$22</f>
        <v>12</v>
      </c>
      <c r="T32" s="4" t="str">
        <f t="shared" si="2"/>
        <v>5'0''</v>
      </c>
      <c r="U32" s="28"/>
      <c r="V32" s="28"/>
      <c r="W32" s="28"/>
    </row>
    <row r="33" spans="2:23" ht="14" thickBot="1">
      <c r="B33" s="5">
        <f t="shared" si="0"/>
        <v>42405</v>
      </c>
      <c r="C33" s="6" t="s">
        <v>5</v>
      </c>
      <c r="D33" s="6"/>
      <c r="E33" s="6"/>
      <c r="F33" s="6"/>
      <c r="G33" s="6"/>
      <c r="H33" s="6"/>
      <c r="I33" s="6"/>
      <c r="K33" s="396"/>
      <c r="Q33" s="281" t="s">
        <v>740</v>
      </c>
      <c r="R33" s="281"/>
      <c r="S33" s="260">
        <f>0.7*$S$22</f>
        <v>11.2</v>
      </c>
      <c r="T33" s="4" t="str">
        <f t="shared" si="2"/>
        <v>5'22''</v>
      </c>
      <c r="U33" s="28"/>
      <c r="V33" s="4" t="s">
        <v>733</v>
      </c>
      <c r="W33" s="28"/>
    </row>
    <row r="34" spans="2:23" ht="14" thickBot="1">
      <c r="B34" s="5">
        <f t="shared" si="0"/>
        <v>42406</v>
      </c>
      <c r="C34" s="7" t="s">
        <v>6</v>
      </c>
      <c r="D34" s="7"/>
      <c r="E34" s="7"/>
      <c r="F34" s="7"/>
      <c r="G34" s="7"/>
      <c r="H34" s="7"/>
      <c r="I34" s="7"/>
      <c r="K34" s="396"/>
      <c r="Q34" s="281" t="s">
        <v>732</v>
      </c>
      <c r="R34" s="281"/>
      <c r="S34" s="260">
        <f>0.65*$S$22</f>
        <v>10.4</v>
      </c>
      <c r="T34" s="4" t="str">
        <f t="shared" si="2"/>
        <v>5'47''</v>
      </c>
      <c r="U34" s="28"/>
      <c r="V34" s="28"/>
      <c r="W34" s="28"/>
    </row>
    <row r="35" spans="2:23" ht="14" thickBot="1">
      <c r="B35" s="5">
        <f t="shared" si="0"/>
        <v>42407</v>
      </c>
      <c r="C35" s="7" t="s">
        <v>7</v>
      </c>
      <c r="D35" s="7"/>
      <c r="E35" s="7"/>
      <c r="F35" s="7"/>
      <c r="G35" s="7"/>
      <c r="H35" s="7"/>
      <c r="I35" s="7"/>
      <c r="K35" s="396"/>
    </row>
    <row r="36" spans="2:23" ht="14" thickBot="1">
      <c r="B36" s="5">
        <f t="shared" si="0"/>
        <v>42408</v>
      </c>
      <c r="C36" s="6" t="s">
        <v>1</v>
      </c>
      <c r="H36" s="6"/>
      <c r="I36" s="6"/>
      <c r="K36" s="396" t="s">
        <v>27</v>
      </c>
    </row>
    <row r="37" spans="2:23" ht="14" thickBot="1">
      <c r="B37" s="5">
        <f t="shared" si="0"/>
        <v>42409</v>
      </c>
      <c r="C37" s="6" t="s">
        <v>2</v>
      </c>
      <c r="D37" s="6" t="s">
        <v>693</v>
      </c>
      <c r="E37" s="6"/>
      <c r="F37" s="6" t="s">
        <v>652</v>
      </c>
      <c r="G37" s="6"/>
      <c r="H37" s="6"/>
      <c r="I37" s="6"/>
      <c r="K37" s="396"/>
    </row>
    <row r="38" spans="2:23" ht="14" thickBot="1">
      <c r="B38" s="5">
        <f t="shared" si="0"/>
        <v>42410</v>
      </c>
      <c r="C38" s="7" t="s">
        <v>3</v>
      </c>
      <c r="D38" s="7">
        <v>0</v>
      </c>
      <c r="E38" s="7"/>
      <c r="F38" s="7"/>
      <c r="G38" s="7"/>
      <c r="H38" s="7"/>
      <c r="I38" s="7"/>
      <c r="K38" s="396"/>
    </row>
    <row r="39" spans="2:23" ht="14" thickBot="1">
      <c r="B39" s="5">
        <f t="shared" si="0"/>
        <v>42411</v>
      </c>
      <c r="C39" s="6" t="s">
        <v>4</v>
      </c>
      <c r="D39" s="6"/>
      <c r="E39" s="6"/>
      <c r="F39" s="6"/>
      <c r="G39" s="6"/>
      <c r="H39" s="6"/>
      <c r="I39" s="6"/>
      <c r="K39" s="396"/>
    </row>
    <row r="40" spans="2:23" ht="14" thickBot="1">
      <c r="B40" s="5">
        <f t="shared" si="0"/>
        <v>42412</v>
      </c>
      <c r="C40" s="6" t="s">
        <v>5</v>
      </c>
      <c r="D40" s="6"/>
      <c r="E40" s="6"/>
      <c r="F40" s="6"/>
      <c r="G40" s="6"/>
      <c r="H40" s="6"/>
      <c r="I40" s="6"/>
      <c r="K40" s="396"/>
    </row>
    <row r="41" spans="2:23" ht="14" thickBot="1">
      <c r="B41" s="5">
        <f t="shared" si="0"/>
        <v>42413</v>
      </c>
      <c r="C41" s="6" t="s">
        <v>6</v>
      </c>
      <c r="D41" s="6"/>
      <c r="E41" s="6"/>
      <c r="F41" s="6"/>
      <c r="G41" s="6"/>
      <c r="H41" s="6"/>
      <c r="I41" s="6"/>
      <c r="K41" s="396"/>
    </row>
    <row r="42" spans="2:23" ht="14" thickBot="1">
      <c r="B42" s="5">
        <f t="shared" si="0"/>
        <v>42414</v>
      </c>
      <c r="C42" s="7" t="s">
        <v>7</v>
      </c>
      <c r="D42" s="7"/>
      <c r="E42" s="7"/>
      <c r="F42" s="7"/>
      <c r="G42" s="7"/>
      <c r="H42" s="7"/>
      <c r="I42" s="7"/>
      <c r="K42" s="396"/>
    </row>
    <row r="43" spans="2:23" ht="18" thickBot="1">
      <c r="B43" s="5">
        <f t="shared" si="0"/>
        <v>42415</v>
      </c>
      <c r="C43" s="6" t="s">
        <v>1</v>
      </c>
      <c r="H43" s="6"/>
      <c r="I43" s="6"/>
      <c r="K43" s="396" t="s">
        <v>34</v>
      </c>
      <c r="Q43" s="398" t="s">
        <v>707</v>
      </c>
      <c r="R43" s="399"/>
      <c r="S43" s="399"/>
      <c r="T43" s="399"/>
      <c r="U43" s="399"/>
      <c r="V43" s="399"/>
      <c r="W43" s="399"/>
    </row>
    <row r="44" spans="2:23" ht="14" thickBot="1">
      <c r="B44" s="5">
        <f t="shared" si="0"/>
        <v>42416</v>
      </c>
      <c r="C44" s="6" t="s">
        <v>2</v>
      </c>
      <c r="D44" s="6" t="s">
        <v>693</v>
      </c>
      <c r="E44" s="6"/>
      <c r="F44" s="6" t="s">
        <v>652</v>
      </c>
      <c r="G44" s="6"/>
      <c r="H44" s="6"/>
      <c r="I44" s="6"/>
      <c r="K44" s="396"/>
      <c r="Q44" s="258" t="s">
        <v>708</v>
      </c>
      <c r="R44" s="258" t="s">
        <v>79</v>
      </c>
      <c r="S44" s="258" t="s">
        <v>667</v>
      </c>
      <c r="T44" s="258" t="s">
        <v>711</v>
      </c>
      <c r="U44" s="258" t="s">
        <v>647</v>
      </c>
      <c r="V44" s="258"/>
      <c r="W44" s="3"/>
    </row>
    <row r="45" spans="2:23" ht="14" thickBot="1">
      <c r="B45" s="5">
        <f t="shared" si="0"/>
        <v>42417</v>
      </c>
      <c r="C45" s="7" t="s">
        <v>3</v>
      </c>
      <c r="D45" s="7">
        <v>0</v>
      </c>
      <c r="E45" s="7"/>
      <c r="F45" s="7"/>
      <c r="G45" s="7"/>
      <c r="H45" s="7"/>
      <c r="I45" s="7"/>
      <c r="K45" s="396"/>
      <c r="Q45" s="3">
        <v>1</v>
      </c>
      <c r="R45" s="21" t="s">
        <v>709</v>
      </c>
      <c r="S45" s="21" t="s">
        <v>710</v>
      </c>
      <c r="T45" s="21" t="s">
        <v>712</v>
      </c>
      <c r="U45" s="3"/>
      <c r="V45" s="3"/>
      <c r="W45" s="3"/>
    </row>
    <row r="46" spans="2:23" ht="14" thickBot="1">
      <c r="B46" s="5">
        <f t="shared" si="0"/>
        <v>42418</v>
      </c>
      <c r="C46" s="6" t="s">
        <v>4</v>
      </c>
      <c r="D46" s="6"/>
      <c r="E46" s="6"/>
      <c r="F46" s="6"/>
      <c r="G46" s="6"/>
      <c r="H46" s="6"/>
      <c r="I46" s="6"/>
      <c r="K46" s="396"/>
    </row>
    <row r="47" spans="2:23" ht="14" thickBot="1">
      <c r="B47" s="5">
        <f t="shared" si="0"/>
        <v>42419</v>
      </c>
      <c r="C47" s="6" t="s">
        <v>5</v>
      </c>
      <c r="D47" s="6"/>
      <c r="E47" s="6"/>
      <c r="F47" s="6"/>
      <c r="G47" s="6"/>
      <c r="H47" s="6"/>
      <c r="I47" s="6"/>
      <c r="K47" s="396"/>
    </row>
    <row r="48" spans="2:23" ht="14" thickBot="1">
      <c r="B48" s="5">
        <f t="shared" si="0"/>
        <v>42420</v>
      </c>
      <c r="C48" s="6" t="s">
        <v>6</v>
      </c>
      <c r="D48" s="6"/>
      <c r="E48" s="6"/>
      <c r="F48" s="6"/>
      <c r="G48" s="6"/>
      <c r="H48" s="6"/>
      <c r="I48" s="6"/>
      <c r="K48" s="396"/>
    </row>
    <row r="49" spans="2:27" ht="14" thickBot="1">
      <c r="B49" s="5">
        <f t="shared" si="0"/>
        <v>42421</v>
      </c>
      <c r="C49" s="7" t="s">
        <v>7</v>
      </c>
      <c r="D49" s="7"/>
      <c r="E49" s="7"/>
      <c r="F49" s="7"/>
      <c r="G49" s="7"/>
      <c r="H49" s="7"/>
      <c r="I49" s="7"/>
      <c r="K49" s="396"/>
    </row>
    <row r="50" spans="2:27" ht="14" thickBot="1">
      <c r="B50" s="5">
        <f t="shared" si="0"/>
        <v>42422</v>
      </c>
      <c r="C50" s="6" t="s">
        <v>1</v>
      </c>
      <c r="D50" s="6"/>
      <c r="E50" s="6"/>
      <c r="F50" s="6"/>
      <c r="G50" s="6"/>
      <c r="H50" s="6"/>
      <c r="I50" s="6"/>
      <c r="K50" s="396" t="s">
        <v>35</v>
      </c>
    </row>
    <row r="51" spans="2:27" ht="14" thickBot="1">
      <c r="B51" s="5">
        <f t="shared" si="0"/>
        <v>42423</v>
      </c>
      <c r="C51" s="6" t="s">
        <v>2</v>
      </c>
      <c r="D51" s="6" t="s">
        <v>693</v>
      </c>
      <c r="E51" s="6"/>
      <c r="F51" s="6" t="s">
        <v>652</v>
      </c>
      <c r="G51" s="6"/>
      <c r="H51" s="6"/>
      <c r="I51" s="6"/>
      <c r="K51" s="396"/>
    </row>
    <row r="52" spans="2:27" ht="14" thickBot="1">
      <c r="B52" s="5">
        <f t="shared" si="0"/>
        <v>42424</v>
      </c>
      <c r="C52" s="7" t="s">
        <v>3</v>
      </c>
      <c r="D52" s="7">
        <v>0</v>
      </c>
      <c r="E52" s="7"/>
      <c r="F52" s="7"/>
      <c r="G52" s="7"/>
      <c r="H52" s="7"/>
      <c r="I52" s="7"/>
      <c r="K52" s="396"/>
    </row>
    <row r="53" spans="2:27" ht="14" thickBot="1">
      <c r="B53" s="5">
        <f t="shared" si="0"/>
        <v>42425</v>
      </c>
      <c r="C53" s="6" t="s">
        <v>4</v>
      </c>
      <c r="D53" s="6"/>
      <c r="E53" s="6"/>
      <c r="F53" s="6"/>
      <c r="G53" s="6"/>
      <c r="H53" s="6"/>
      <c r="I53" s="6"/>
      <c r="K53" s="396"/>
    </row>
    <row r="54" spans="2:27" ht="14" thickBot="1">
      <c r="B54" s="5">
        <f t="shared" si="0"/>
        <v>42426</v>
      </c>
      <c r="C54" s="6" t="s">
        <v>5</v>
      </c>
      <c r="D54" s="6"/>
      <c r="E54" s="6"/>
      <c r="F54" s="6"/>
      <c r="G54" s="6"/>
      <c r="H54" s="6"/>
      <c r="I54" s="6"/>
      <c r="K54" s="396"/>
    </row>
    <row r="55" spans="2:27" ht="14" thickBot="1">
      <c r="B55" s="5">
        <f t="shared" si="0"/>
        <v>42427</v>
      </c>
      <c r="C55" s="6" t="s">
        <v>6</v>
      </c>
      <c r="D55" s="6"/>
      <c r="E55" s="6"/>
      <c r="F55" s="6"/>
      <c r="G55" s="6"/>
      <c r="H55" s="6"/>
      <c r="I55" s="6"/>
      <c r="K55" s="396"/>
    </row>
    <row r="56" spans="2:27" ht="17" customHeight="1" thickBot="1">
      <c r="B56" s="5">
        <f t="shared" si="0"/>
        <v>42428</v>
      </c>
      <c r="C56" s="7" t="s">
        <v>7</v>
      </c>
      <c r="D56" s="7"/>
      <c r="E56" s="7"/>
      <c r="F56" s="7"/>
      <c r="G56" s="7"/>
      <c r="H56" s="7"/>
      <c r="I56" s="7"/>
      <c r="K56" s="396"/>
      <c r="N56" s="405" t="s">
        <v>713</v>
      </c>
      <c r="O56" s="405"/>
      <c r="P56" s="405"/>
      <c r="Q56" s="405"/>
      <c r="R56" s="405"/>
      <c r="S56" s="405"/>
      <c r="T56" s="405"/>
      <c r="U56" s="405"/>
      <c r="V56" s="405"/>
      <c r="W56" s="405"/>
      <c r="X56" s="405"/>
      <c r="Y56" s="405"/>
    </row>
    <row r="57" spans="2:27" ht="14" thickBot="1">
      <c r="B57" s="5">
        <f t="shared" si="0"/>
        <v>42429</v>
      </c>
      <c r="C57" s="6" t="s">
        <v>1</v>
      </c>
      <c r="H57" s="6"/>
      <c r="I57" s="6"/>
      <c r="K57" s="396" t="s">
        <v>36</v>
      </c>
      <c r="N57" s="274" t="s">
        <v>79</v>
      </c>
      <c r="O57" s="274" t="s">
        <v>721</v>
      </c>
      <c r="P57" s="274" t="s">
        <v>246</v>
      </c>
      <c r="Q57" s="274" t="s">
        <v>722</v>
      </c>
      <c r="R57" s="274" t="s">
        <v>714</v>
      </c>
      <c r="S57" s="274" t="s">
        <v>717</v>
      </c>
      <c r="T57" s="274" t="s">
        <v>718</v>
      </c>
      <c r="U57" s="274" t="s">
        <v>719</v>
      </c>
      <c r="V57" s="274" t="s">
        <v>715</v>
      </c>
      <c r="W57" s="274" t="s">
        <v>716</v>
      </c>
      <c r="X57" s="274" t="s">
        <v>720</v>
      </c>
      <c r="Y57" s="274" t="s">
        <v>726</v>
      </c>
    </row>
    <row r="58" spans="2:27" ht="17" thickTop="1" thickBot="1">
      <c r="B58" s="5">
        <f t="shared" si="0"/>
        <v>42430</v>
      </c>
      <c r="C58" s="7" t="s">
        <v>2</v>
      </c>
      <c r="D58" s="6" t="s">
        <v>668</v>
      </c>
      <c r="E58" s="6"/>
      <c r="F58" s="6" t="s">
        <v>652</v>
      </c>
      <c r="G58" s="6"/>
      <c r="H58" s="7"/>
      <c r="I58" s="7"/>
      <c r="K58" s="396"/>
      <c r="N58" s="4" t="s">
        <v>725</v>
      </c>
      <c r="O58" s="4" t="s">
        <v>723</v>
      </c>
      <c r="P58" s="28">
        <v>1</v>
      </c>
      <c r="Q58" s="28">
        <v>4</v>
      </c>
      <c r="R58" s="260">
        <v>3</v>
      </c>
      <c r="S58" s="280">
        <v>0</v>
      </c>
      <c r="T58" s="4">
        <f>0.8*S22</f>
        <v>12.8</v>
      </c>
      <c r="U58" s="277" t="str">
        <f>T22</f>
        <v>3'45''</v>
      </c>
      <c r="V58" s="276">
        <v>130</v>
      </c>
      <c r="W58" s="28">
        <f>S28</f>
        <v>4</v>
      </c>
      <c r="X58" s="28" t="str">
        <f>T28</f>
        <v>15'0''</v>
      </c>
      <c r="Y58" s="278">
        <v>3430</v>
      </c>
      <c r="Z58" s="279">
        <f>R58*(60*(LEFT(S58,2)+RIGHT(S58,2))+60*(LEFT(V58,2)+RIGHT(V58,2)))</f>
        <v>7740</v>
      </c>
      <c r="AA58">
        <f>Z58/3600</f>
        <v>2.15</v>
      </c>
    </row>
    <row r="59" spans="2:27" ht="14" thickBot="1">
      <c r="B59" s="5">
        <f t="shared" si="0"/>
        <v>42431</v>
      </c>
      <c r="C59" s="6" t="s">
        <v>3</v>
      </c>
      <c r="D59" s="7">
        <v>0</v>
      </c>
      <c r="E59" s="6"/>
      <c r="F59" s="6"/>
      <c r="G59" s="6"/>
      <c r="H59" s="6"/>
      <c r="I59" s="6"/>
      <c r="K59" s="396"/>
    </row>
    <row r="60" spans="2:27" ht="14" thickBot="1">
      <c r="B60" s="5">
        <f t="shared" si="0"/>
        <v>42432</v>
      </c>
      <c r="C60" s="6" t="s">
        <v>4</v>
      </c>
      <c r="D60" s="6"/>
      <c r="E60" s="6"/>
      <c r="F60" s="6"/>
      <c r="G60" s="6"/>
      <c r="H60" s="6"/>
      <c r="I60" s="6"/>
      <c r="K60" s="396"/>
    </row>
    <row r="61" spans="2:27" ht="14" thickBot="1">
      <c r="B61" s="5">
        <f t="shared" si="0"/>
        <v>42433</v>
      </c>
      <c r="C61" s="6" t="s">
        <v>5</v>
      </c>
      <c r="D61" s="6"/>
      <c r="E61" s="6"/>
      <c r="F61" s="6"/>
      <c r="G61" s="6"/>
      <c r="H61" s="6"/>
      <c r="I61" s="6"/>
      <c r="K61" s="396"/>
    </row>
    <row r="62" spans="2:27" ht="14" thickBot="1">
      <c r="B62" s="5">
        <f t="shared" si="0"/>
        <v>42434</v>
      </c>
      <c r="C62" s="6" t="s">
        <v>6</v>
      </c>
      <c r="D62" s="6"/>
      <c r="E62" s="6"/>
      <c r="F62" s="6"/>
      <c r="G62" s="6"/>
      <c r="H62" s="6"/>
      <c r="I62" s="6"/>
      <c r="K62" s="396"/>
    </row>
    <row r="63" spans="2:27" ht="14" thickBot="1">
      <c r="B63" s="5">
        <f t="shared" si="0"/>
        <v>42435</v>
      </c>
      <c r="C63" s="7" t="s">
        <v>7</v>
      </c>
      <c r="D63" s="7"/>
      <c r="E63" s="7"/>
      <c r="F63" s="7"/>
      <c r="G63" s="7"/>
      <c r="H63" s="7"/>
      <c r="I63" s="7"/>
      <c r="K63" s="396"/>
    </row>
    <row r="64" spans="2:27" ht="14" thickBot="1">
      <c r="B64" s="5">
        <f t="shared" si="0"/>
        <v>42436</v>
      </c>
      <c r="C64" s="6" t="s">
        <v>1</v>
      </c>
      <c r="H64" s="6"/>
      <c r="I64" s="6"/>
      <c r="K64" s="396" t="s">
        <v>37</v>
      </c>
    </row>
    <row r="65" spans="1:11" ht="14" thickBot="1">
      <c r="B65" s="5">
        <f t="shared" si="0"/>
        <v>42437</v>
      </c>
      <c r="C65" s="6" t="s">
        <v>2</v>
      </c>
      <c r="D65" s="6" t="s">
        <v>670</v>
      </c>
      <c r="E65" s="6"/>
      <c r="F65" s="6" t="s">
        <v>690</v>
      </c>
      <c r="G65" s="6"/>
      <c r="H65" s="6"/>
      <c r="I65" s="6"/>
      <c r="K65" s="396"/>
    </row>
    <row r="66" spans="1:11" ht="14" thickBot="1">
      <c r="B66" s="5">
        <f t="shared" si="0"/>
        <v>42438</v>
      </c>
      <c r="C66" s="6" t="s">
        <v>3</v>
      </c>
      <c r="D66" s="7">
        <v>0</v>
      </c>
      <c r="E66" s="6"/>
      <c r="F66" s="6"/>
      <c r="G66" s="6"/>
      <c r="H66" s="6"/>
      <c r="I66" s="6"/>
      <c r="K66" s="396"/>
    </row>
    <row r="67" spans="1:11" ht="14" thickBot="1">
      <c r="B67" s="5">
        <f t="shared" si="0"/>
        <v>42439</v>
      </c>
      <c r="C67" s="6" t="s">
        <v>4</v>
      </c>
      <c r="D67" s="6"/>
      <c r="E67" s="6"/>
      <c r="F67" s="6"/>
      <c r="G67" s="6"/>
      <c r="H67" s="6"/>
      <c r="I67" s="6"/>
      <c r="K67" s="396"/>
    </row>
    <row r="68" spans="1:11" ht="14" thickBot="1">
      <c r="B68" s="5">
        <f t="shared" si="0"/>
        <v>42440</v>
      </c>
      <c r="C68" s="6" t="s">
        <v>5</v>
      </c>
      <c r="D68" s="6"/>
      <c r="E68" s="6"/>
      <c r="F68" s="6"/>
      <c r="G68" s="6"/>
      <c r="H68" s="6"/>
      <c r="I68" s="6"/>
      <c r="K68" s="396"/>
    </row>
    <row r="69" spans="1:11" ht="14" thickBot="1">
      <c r="B69" s="5">
        <f>B70-1</f>
        <v>42441</v>
      </c>
      <c r="C69" s="273" t="s">
        <v>6</v>
      </c>
      <c r="D69" s="273"/>
      <c r="E69" s="273"/>
      <c r="F69" s="273"/>
      <c r="G69" s="273"/>
      <c r="H69" s="273"/>
      <c r="I69" s="273"/>
      <c r="K69" s="396"/>
    </row>
    <row r="70" spans="1:11" ht="14" thickBot="1">
      <c r="A70" s="2"/>
      <c r="B70" s="34">
        <v>42442</v>
      </c>
      <c r="C70" s="7" t="s">
        <v>7</v>
      </c>
      <c r="D70" s="7"/>
      <c r="E70" s="7"/>
      <c r="F70" s="1" t="s">
        <v>644</v>
      </c>
      <c r="G70" s="1"/>
      <c r="H70" s="7"/>
      <c r="I70" s="7"/>
      <c r="K70" s="396"/>
    </row>
  </sheetData>
  <mergeCells count="21">
    <mergeCell ref="B2:V2"/>
    <mergeCell ref="B5:V5"/>
    <mergeCell ref="B6:B7"/>
    <mergeCell ref="C6:C7"/>
    <mergeCell ref="D6:H6"/>
    <mergeCell ref="I6:J6"/>
    <mergeCell ref="K6:K7"/>
    <mergeCell ref="K57:K63"/>
    <mergeCell ref="K64:K70"/>
    <mergeCell ref="Q43:W43"/>
    <mergeCell ref="K8:K14"/>
    <mergeCell ref="K15:K21"/>
    <mergeCell ref="N17:O17"/>
    <mergeCell ref="N21:O21"/>
    <mergeCell ref="K22:K28"/>
    <mergeCell ref="K29:K35"/>
    <mergeCell ref="Z7:AA7"/>
    <mergeCell ref="N56:Y56"/>
    <mergeCell ref="K36:K42"/>
    <mergeCell ref="K43:K49"/>
    <mergeCell ref="K50:K5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466"/>
  <sheetViews>
    <sheetView topLeftCell="A12" workbookViewId="0">
      <selection activeCell="K30" sqref="K30"/>
    </sheetView>
  </sheetViews>
  <sheetFormatPr baseColWidth="10" defaultRowHeight="15" x14ac:dyDescent="0"/>
  <cols>
    <col min="1" max="1" width="10.83203125" style="293"/>
    <col min="2" max="2" width="22.6640625" style="292" customWidth="1"/>
    <col min="3" max="3" width="10.83203125" style="292"/>
    <col min="4" max="4" width="11.83203125" style="292" bestFit="1" customWidth="1"/>
    <col min="5" max="5" width="28.33203125" style="292" customWidth="1"/>
    <col min="6" max="6" width="11.6640625" style="292" customWidth="1"/>
    <col min="7" max="7" width="13.1640625" style="292" customWidth="1"/>
    <col min="8" max="8" width="13.5" style="292" bestFit="1" customWidth="1"/>
    <col min="9" max="9" width="19.5" style="292" customWidth="1"/>
    <col min="10" max="10" width="16.83203125" style="292" bestFit="1" customWidth="1"/>
    <col min="11" max="16384" width="10.83203125" style="292"/>
  </cols>
  <sheetData>
    <row r="2" spans="1:32" ht="20">
      <c r="A2" s="406" t="s">
        <v>757</v>
      </c>
      <c r="B2" s="407"/>
      <c r="C2" s="407"/>
      <c r="D2" s="407"/>
      <c r="E2" s="407"/>
      <c r="F2" s="407"/>
      <c r="G2" s="407"/>
      <c r="H2" s="407"/>
      <c r="I2" s="407"/>
      <c r="J2" s="407"/>
      <c r="K2" s="407"/>
    </row>
    <row r="3" spans="1:32" ht="16" thickBot="1">
      <c r="X3" s="294" t="s">
        <v>758</v>
      </c>
      <c r="Y3" s="294" t="s">
        <v>759</v>
      </c>
      <c r="Z3" s="294" t="s">
        <v>760</v>
      </c>
      <c r="AA3" s="294" t="s">
        <v>761</v>
      </c>
      <c r="AB3" s="294" t="s">
        <v>762</v>
      </c>
      <c r="AC3" s="294" t="s">
        <v>763</v>
      </c>
      <c r="AD3" s="294" t="s">
        <v>321</v>
      </c>
      <c r="AE3" s="294" t="s">
        <v>764</v>
      </c>
      <c r="AF3" s="294" t="s">
        <v>765</v>
      </c>
    </row>
    <row r="4" spans="1:32" ht="32" thickTop="1" thickBot="1">
      <c r="A4" s="295" t="s">
        <v>132</v>
      </c>
      <c r="B4" s="295" t="s">
        <v>766</v>
      </c>
      <c r="C4" s="295" t="s">
        <v>93</v>
      </c>
      <c r="D4" s="295" t="s">
        <v>767</v>
      </c>
      <c r="E4" s="295" t="s">
        <v>768</v>
      </c>
      <c r="F4" s="295" t="s">
        <v>769</v>
      </c>
      <c r="G4" s="295" t="s">
        <v>770</v>
      </c>
      <c r="H4" s="295" t="s">
        <v>771</v>
      </c>
      <c r="I4" s="295" t="s">
        <v>772</v>
      </c>
      <c r="J4" s="295" t="s">
        <v>773</v>
      </c>
      <c r="K4" s="295" t="s">
        <v>168</v>
      </c>
      <c r="X4" s="294">
        <v>1</v>
      </c>
      <c r="Y4" s="294" t="s">
        <v>774</v>
      </c>
      <c r="Z4" s="294" t="s">
        <v>775</v>
      </c>
      <c r="AA4" s="294" t="s">
        <v>233</v>
      </c>
      <c r="AB4" s="294" t="s">
        <v>776</v>
      </c>
      <c r="AC4" s="294" t="s">
        <v>777</v>
      </c>
      <c r="AD4" s="296">
        <v>4.1793981481481481E-2</v>
      </c>
      <c r="AE4" s="294">
        <v>14.954000000000001</v>
      </c>
      <c r="AF4" s="294">
        <v>1</v>
      </c>
    </row>
    <row r="5" spans="1:32" s="304" customFormat="1" ht="17" thickTop="1" thickBot="1">
      <c r="A5" s="297" t="s">
        <v>778</v>
      </c>
      <c r="B5" s="298" t="s">
        <v>779</v>
      </c>
      <c r="C5" s="299">
        <v>25000</v>
      </c>
      <c r="D5" s="300">
        <v>700</v>
      </c>
      <c r="E5" s="301">
        <v>0.13165509259259259</v>
      </c>
      <c r="F5" s="302">
        <f>HOUR(E5)</f>
        <v>3</v>
      </c>
      <c r="G5" s="302">
        <f>MINUTE(E5)</f>
        <v>9</v>
      </c>
      <c r="H5" s="302">
        <f>SECOND(E5)</f>
        <v>35</v>
      </c>
      <c r="I5" s="302">
        <f>F5+(G5/60)+(H5/3600)</f>
        <v>3.1597222222222223</v>
      </c>
      <c r="J5" s="300">
        <f>C5/I5/1000</f>
        <v>7.9120879120879115</v>
      </c>
      <c r="K5" s="303" t="str">
        <f t="shared" ref="K5:K35" si="0">CONCATENATE(INT(60/J5),"'",INT(60*(60/J5-INT(60/J5))),"''")</f>
        <v>7'35''</v>
      </c>
      <c r="X5" s="294">
        <v>471</v>
      </c>
      <c r="Y5" s="294" t="s">
        <v>780</v>
      </c>
      <c r="Z5" s="294" t="s">
        <v>781</v>
      </c>
      <c r="AA5" s="294" t="s">
        <v>233</v>
      </c>
      <c r="AB5" s="294" t="s">
        <v>776</v>
      </c>
      <c r="AC5" s="294">
        <v>0</v>
      </c>
      <c r="AD5" s="296">
        <v>4.3344907407407408E-2</v>
      </c>
      <c r="AE5" s="294">
        <v>14.419</v>
      </c>
      <c r="AF5" s="294">
        <v>2</v>
      </c>
    </row>
    <row r="6" spans="1:32" s="304" customFormat="1" ht="32" thickTop="1" thickBot="1">
      <c r="A6" s="297" t="s">
        <v>778</v>
      </c>
      <c r="B6" s="298" t="s">
        <v>782</v>
      </c>
      <c r="C6" s="299">
        <v>27978</v>
      </c>
      <c r="D6" s="300"/>
      <c r="E6" s="301">
        <v>0.13900462962962959</v>
      </c>
      <c r="F6" s="302">
        <f t="shared" ref="F6:F8" si="1">HOUR(E6)</f>
        <v>3</v>
      </c>
      <c r="G6" s="302">
        <f t="shared" ref="G6:G8" si="2">MINUTE(E6)</f>
        <v>20</v>
      </c>
      <c r="H6" s="302">
        <f t="shared" ref="H6:H8" si="3">SECOND(E6)</f>
        <v>10</v>
      </c>
      <c r="I6" s="302">
        <f t="shared" ref="I6:I8" si="4">F6+(G6/60)+(H6/3600)</f>
        <v>3.3361111111111112</v>
      </c>
      <c r="J6" s="300">
        <f t="shared" ref="J6:J8" si="5">C6/I6/1000</f>
        <v>8.3864113238967537</v>
      </c>
      <c r="K6" s="303" t="str">
        <f t="shared" si="0"/>
        <v>7'9''</v>
      </c>
      <c r="X6" s="294">
        <v>146</v>
      </c>
      <c r="Y6" s="294" t="s">
        <v>783</v>
      </c>
      <c r="Z6" s="294" t="s">
        <v>784</v>
      </c>
      <c r="AA6" s="294" t="s">
        <v>233</v>
      </c>
      <c r="AB6" s="294" t="s">
        <v>776</v>
      </c>
      <c r="AC6" s="294" t="s">
        <v>785</v>
      </c>
      <c r="AD6" s="296">
        <v>4.3472222222222225E-2</v>
      </c>
      <c r="AE6" s="294">
        <v>14.377000000000001</v>
      </c>
      <c r="AF6" s="294">
        <v>3</v>
      </c>
    </row>
    <row r="7" spans="1:32" s="304" customFormat="1" ht="32" thickTop="1" thickBot="1">
      <c r="A7" s="297" t="s">
        <v>778</v>
      </c>
      <c r="B7" s="298" t="s">
        <v>786</v>
      </c>
      <c r="C7" s="299">
        <v>23000</v>
      </c>
      <c r="D7" s="300"/>
      <c r="E7" s="301">
        <v>0.1054282407407407</v>
      </c>
      <c r="F7" s="302">
        <f t="shared" si="1"/>
        <v>2</v>
      </c>
      <c r="G7" s="302">
        <f t="shared" si="2"/>
        <v>31</v>
      </c>
      <c r="H7" s="302">
        <f t="shared" si="3"/>
        <v>49</v>
      </c>
      <c r="I7" s="302">
        <f t="shared" si="4"/>
        <v>2.5302777777777776</v>
      </c>
      <c r="J7" s="300">
        <f t="shared" si="5"/>
        <v>9.0899110769568559</v>
      </c>
      <c r="K7" s="303" t="str">
        <f t="shared" si="0"/>
        <v>6'36''</v>
      </c>
      <c r="X7" s="294">
        <v>381</v>
      </c>
      <c r="Y7" s="294" t="s">
        <v>787</v>
      </c>
      <c r="Z7" s="294" t="s">
        <v>788</v>
      </c>
      <c r="AA7" s="294" t="s">
        <v>233</v>
      </c>
      <c r="AB7" s="294" t="s">
        <v>789</v>
      </c>
      <c r="AC7" s="294" t="s">
        <v>790</v>
      </c>
      <c r="AD7" s="296">
        <v>4.4166666666666667E-2</v>
      </c>
      <c r="AE7" s="294">
        <v>14.151</v>
      </c>
      <c r="AF7" s="294">
        <v>4</v>
      </c>
    </row>
    <row r="8" spans="1:32" s="304" customFormat="1" ht="32" thickTop="1" thickBot="1">
      <c r="A8" s="297" t="s">
        <v>778</v>
      </c>
      <c r="B8" s="305" t="s">
        <v>791</v>
      </c>
      <c r="C8" s="306">
        <v>14000</v>
      </c>
      <c r="D8" s="305"/>
      <c r="E8" s="301">
        <v>5.5555555555555552E-2</v>
      </c>
      <c r="F8" s="302">
        <f t="shared" si="1"/>
        <v>1</v>
      </c>
      <c r="G8" s="302">
        <f t="shared" si="2"/>
        <v>20</v>
      </c>
      <c r="H8" s="302">
        <f t="shared" si="3"/>
        <v>0</v>
      </c>
      <c r="I8" s="302">
        <f t="shared" si="4"/>
        <v>1.3333333333333333</v>
      </c>
      <c r="J8" s="300">
        <f t="shared" si="5"/>
        <v>10.5</v>
      </c>
      <c r="K8" s="303" t="str">
        <f t="shared" si="0"/>
        <v>5'42''</v>
      </c>
      <c r="X8" s="294">
        <v>325</v>
      </c>
      <c r="Y8" s="294" t="s">
        <v>792</v>
      </c>
      <c r="Z8" s="294" t="s">
        <v>793</v>
      </c>
      <c r="AA8" s="294" t="s">
        <v>233</v>
      </c>
      <c r="AB8" s="294" t="s">
        <v>776</v>
      </c>
      <c r="AC8" s="294" t="s">
        <v>790</v>
      </c>
      <c r="AD8" s="296">
        <v>4.4733796296296292E-2</v>
      </c>
      <c r="AE8" s="294">
        <v>13.972</v>
      </c>
      <c r="AF8" s="294">
        <v>5</v>
      </c>
    </row>
    <row r="9" spans="1:32" s="304" customFormat="1" ht="32" thickTop="1" thickBot="1">
      <c r="A9" s="297" t="s">
        <v>794</v>
      </c>
      <c r="B9" s="298" t="s">
        <v>795</v>
      </c>
      <c r="C9" s="299">
        <v>16000</v>
      </c>
      <c r="D9" s="300"/>
      <c r="E9" s="307" t="str">
        <f>CONCATENATE(F9,"h"," ",G9,"m"," ",TEXT(H9,"00"),"s")</f>
        <v>1h 36m 35s</v>
      </c>
      <c r="F9" s="302">
        <f>INT(I9)</f>
        <v>1</v>
      </c>
      <c r="G9" s="302">
        <f>INT(60*(I9-F9))</f>
        <v>36</v>
      </c>
      <c r="H9" s="302">
        <f>3600*(I5-F5-G5/60)</f>
        <v>35.000000000000377</v>
      </c>
      <c r="I9" s="302">
        <f>C9/J9/1000</f>
        <v>1.6</v>
      </c>
      <c r="J9" s="299">
        <v>10</v>
      </c>
      <c r="K9" s="303" t="str">
        <f t="shared" si="0"/>
        <v>6'0''</v>
      </c>
      <c r="X9" s="294">
        <v>304</v>
      </c>
      <c r="Y9" s="294" t="s">
        <v>796</v>
      </c>
      <c r="Z9" s="294" t="s">
        <v>781</v>
      </c>
      <c r="AA9" s="294" t="s">
        <v>233</v>
      </c>
      <c r="AB9" s="294" t="s">
        <v>776</v>
      </c>
      <c r="AC9" s="294" t="s">
        <v>797</v>
      </c>
      <c r="AD9" s="296">
        <v>4.5312499999999999E-2</v>
      </c>
      <c r="AE9" s="294">
        <v>13.792999999999999</v>
      </c>
      <c r="AF9" s="294">
        <v>6</v>
      </c>
    </row>
    <row r="10" spans="1:32" s="304" customFormat="1" ht="17" thickTop="1" thickBot="1">
      <c r="A10" s="297" t="s">
        <v>778</v>
      </c>
      <c r="B10" s="305" t="s">
        <v>798</v>
      </c>
      <c r="C10" s="306">
        <v>17000</v>
      </c>
      <c r="D10" s="305"/>
      <c r="E10" s="301">
        <v>7.2129629629629641E-2</v>
      </c>
      <c r="F10" s="302">
        <f t="shared" ref="F10:F35" si="6">HOUR(E10)</f>
        <v>1</v>
      </c>
      <c r="G10" s="302">
        <f t="shared" ref="G10:G35" si="7">MINUTE(E10)</f>
        <v>43</v>
      </c>
      <c r="H10" s="302">
        <f t="shared" ref="H10:H35" si="8">SECOND(E10)</f>
        <v>52</v>
      </c>
      <c r="I10" s="302">
        <f t="shared" ref="I10:I35" si="9">F10+(G10/60)+(H10/3600)</f>
        <v>1.7311111111111113</v>
      </c>
      <c r="J10" s="300">
        <f t="shared" ref="J10:J21" si="10">C10/I10/1000</f>
        <v>9.8202824133504496</v>
      </c>
      <c r="K10" s="303" t="str">
        <f t="shared" si="0"/>
        <v>6'6''</v>
      </c>
      <c r="X10" s="294">
        <v>498</v>
      </c>
      <c r="Y10" s="294" t="s">
        <v>799</v>
      </c>
      <c r="Z10" s="294" t="s">
        <v>800</v>
      </c>
      <c r="AA10" s="294" t="s">
        <v>233</v>
      </c>
      <c r="AB10" s="294" t="s">
        <v>776</v>
      </c>
      <c r="AC10" s="294" t="s">
        <v>801</v>
      </c>
      <c r="AD10" s="296">
        <v>4.5729166666666661E-2</v>
      </c>
      <c r="AE10" s="294">
        <v>13.667</v>
      </c>
      <c r="AF10" s="294">
        <v>7</v>
      </c>
    </row>
    <row r="11" spans="1:32" s="304" customFormat="1" ht="32" thickTop="1" thickBot="1">
      <c r="A11" s="297" t="s">
        <v>794</v>
      </c>
      <c r="B11" s="305" t="s">
        <v>802</v>
      </c>
      <c r="C11" s="306">
        <v>17000</v>
      </c>
      <c r="D11" s="305"/>
      <c r="E11" s="301">
        <v>5.9027777777777783E-2</v>
      </c>
      <c r="F11" s="302">
        <f t="shared" si="6"/>
        <v>1</v>
      </c>
      <c r="G11" s="302">
        <f t="shared" si="7"/>
        <v>25</v>
      </c>
      <c r="H11" s="302">
        <f t="shared" si="8"/>
        <v>0</v>
      </c>
      <c r="I11" s="302">
        <f t="shared" si="9"/>
        <v>1.4166666666666667</v>
      </c>
      <c r="J11" s="300">
        <f t="shared" si="10"/>
        <v>12</v>
      </c>
      <c r="K11" s="303" t="str">
        <f t="shared" si="0"/>
        <v>5'0''</v>
      </c>
      <c r="X11" s="294">
        <v>262</v>
      </c>
      <c r="Y11" s="294" t="s">
        <v>803</v>
      </c>
      <c r="Z11" s="294" t="s">
        <v>804</v>
      </c>
      <c r="AA11" s="294" t="s">
        <v>233</v>
      </c>
      <c r="AB11" s="294" t="s">
        <v>776</v>
      </c>
      <c r="AC11" s="294">
        <v>0</v>
      </c>
      <c r="AD11" s="296">
        <v>4.5914351851851852E-2</v>
      </c>
      <c r="AE11" s="294">
        <v>13.612</v>
      </c>
      <c r="AF11" s="294">
        <v>8</v>
      </c>
    </row>
    <row r="12" spans="1:32" s="304" customFormat="1" ht="32" thickTop="1" thickBot="1">
      <c r="A12" s="308" t="s">
        <v>778</v>
      </c>
      <c r="B12" s="309" t="s">
        <v>805</v>
      </c>
      <c r="C12" s="306">
        <v>19655</v>
      </c>
      <c r="D12" s="309">
        <v>210</v>
      </c>
      <c r="E12" s="301">
        <v>8.6631944444444442E-2</v>
      </c>
      <c r="F12" s="310">
        <f t="shared" si="6"/>
        <v>2</v>
      </c>
      <c r="G12" s="310">
        <f t="shared" si="7"/>
        <v>4</v>
      </c>
      <c r="H12" s="310">
        <f t="shared" si="8"/>
        <v>45</v>
      </c>
      <c r="I12" s="310">
        <f t="shared" si="9"/>
        <v>2.0791666666666671</v>
      </c>
      <c r="J12" s="311">
        <f t="shared" si="10"/>
        <v>9.4533066132264505</v>
      </c>
      <c r="K12" s="303" t="str">
        <f t="shared" si="0"/>
        <v>6'20''</v>
      </c>
      <c r="X12" s="294">
        <v>433</v>
      </c>
      <c r="Y12" s="294" t="s">
        <v>806</v>
      </c>
      <c r="Z12" s="294" t="s">
        <v>807</v>
      </c>
      <c r="AA12" s="294" t="s">
        <v>233</v>
      </c>
      <c r="AB12" s="294" t="s">
        <v>776</v>
      </c>
      <c r="AC12" s="294">
        <v>0</v>
      </c>
      <c r="AD12" s="296">
        <v>4.614583333333333E-2</v>
      </c>
      <c r="AE12" s="294">
        <v>13.544</v>
      </c>
      <c r="AF12" s="294">
        <v>9</v>
      </c>
    </row>
    <row r="13" spans="1:32" s="304" customFormat="1" ht="32" thickTop="1" thickBot="1">
      <c r="A13" s="297" t="s">
        <v>778</v>
      </c>
      <c r="B13" s="305" t="s">
        <v>142</v>
      </c>
      <c r="C13" s="306">
        <v>15714</v>
      </c>
      <c r="D13" s="305"/>
      <c r="E13" s="301">
        <v>6.2812499999999993E-2</v>
      </c>
      <c r="F13" s="302">
        <f t="shared" si="6"/>
        <v>1</v>
      </c>
      <c r="G13" s="302">
        <f t="shared" si="7"/>
        <v>30</v>
      </c>
      <c r="H13" s="302">
        <f t="shared" si="8"/>
        <v>27</v>
      </c>
      <c r="I13" s="302">
        <f t="shared" si="9"/>
        <v>1.5075000000000001</v>
      </c>
      <c r="J13" s="300">
        <f t="shared" si="10"/>
        <v>10.423880597014925</v>
      </c>
      <c r="K13" s="303" t="str">
        <f t="shared" si="0"/>
        <v>5'45''</v>
      </c>
      <c r="X13" s="294">
        <v>429</v>
      </c>
      <c r="Y13" s="294" t="s">
        <v>808</v>
      </c>
      <c r="Z13" s="294" t="s">
        <v>809</v>
      </c>
      <c r="AA13" s="294" t="s">
        <v>233</v>
      </c>
      <c r="AB13" s="294" t="s">
        <v>789</v>
      </c>
      <c r="AC13" s="294" t="s">
        <v>785</v>
      </c>
      <c r="AD13" s="296">
        <v>4.6446759259259257E-2</v>
      </c>
      <c r="AE13" s="294">
        <v>13.456</v>
      </c>
      <c r="AF13" s="294">
        <v>11</v>
      </c>
    </row>
    <row r="14" spans="1:32" s="304" customFormat="1" ht="32" thickTop="1" thickBot="1">
      <c r="A14" s="297" t="s">
        <v>778</v>
      </c>
      <c r="B14" s="312" t="s">
        <v>810</v>
      </c>
      <c r="C14" s="313">
        <v>16100</v>
      </c>
      <c r="D14" s="312"/>
      <c r="E14" s="301">
        <v>5.2083333333333336E-2</v>
      </c>
      <c r="F14" s="312">
        <f t="shared" si="6"/>
        <v>1</v>
      </c>
      <c r="G14" s="312">
        <f t="shared" si="7"/>
        <v>15</v>
      </c>
      <c r="H14" s="312">
        <f t="shared" si="8"/>
        <v>0</v>
      </c>
      <c r="I14" s="312">
        <f t="shared" si="9"/>
        <v>1.25</v>
      </c>
      <c r="J14" s="312">
        <f t="shared" si="10"/>
        <v>12.88</v>
      </c>
      <c r="K14" s="303" t="str">
        <f t="shared" si="0"/>
        <v>4'39''</v>
      </c>
      <c r="X14" s="294">
        <v>429</v>
      </c>
      <c r="Y14" s="294" t="s">
        <v>808</v>
      </c>
      <c r="Z14" s="294" t="s">
        <v>809</v>
      </c>
      <c r="AA14" s="294" t="s">
        <v>233</v>
      </c>
      <c r="AB14" s="294" t="s">
        <v>789</v>
      </c>
      <c r="AC14" s="294" t="s">
        <v>785</v>
      </c>
      <c r="AD14" s="296">
        <v>4.6446759259259257E-2</v>
      </c>
      <c r="AE14" s="294">
        <v>13.456</v>
      </c>
      <c r="AF14" s="294">
        <v>11</v>
      </c>
    </row>
    <row r="15" spans="1:32" s="304" customFormat="1" ht="32" thickTop="1" thickBot="1">
      <c r="A15" s="297" t="s">
        <v>778</v>
      </c>
      <c r="B15" s="305" t="s">
        <v>811</v>
      </c>
      <c r="C15" s="306">
        <v>24400</v>
      </c>
      <c r="D15" s="305"/>
      <c r="E15" s="301">
        <v>0.11012731481481482</v>
      </c>
      <c r="F15" s="302">
        <f t="shared" si="6"/>
        <v>2</v>
      </c>
      <c r="G15" s="302">
        <f t="shared" si="7"/>
        <v>38</v>
      </c>
      <c r="H15" s="302">
        <f t="shared" si="8"/>
        <v>35</v>
      </c>
      <c r="I15" s="302">
        <f t="shared" si="9"/>
        <v>2.6430555555555557</v>
      </c>
      <c r="J15" s="300">
        <f t="shared" si="10"/>
        <v>9.2317393589069887</v>
      </c>
      <c r="K15" s="303" t="str">
        <f t="shared" si="0"/>
        <v>6'29''</v>
      </c>
      <c r="X15" s="294">
        <v>429</v>
      </c>
      <c r="Y15" s="294" t="s">
        <v>808</v>
      </c>
      <c r="Z15" s="294" t="s">
        <v>809</v>
      </c>
      <c r="AA15" s="294" t="s">
        <v>233</v>
      </c>
      <c r="AB15" s="294" t="s">
        <v>789</v>
      </c>
      <c r="AC15" s="294" t="s">
        <v>785</v>
      </c>
      <c r="AD15" s="296">
        <v>4.6446759259259257E-2</v>
      </c>
      <c r="AE15" s="294">
        <v>13.456</v>
      </c>
      <c r="AF15" s="294">
        <v>11</v>
      </c>
    </row>
    <row r="16" spans="1:32" s="304" customFormat="1" ht="32" thickTop="1" thickBot="1">
      <c r="A16" s="297" t="s">
        <v>778</v>
      </c>
      <c r="B16" s="305" t="s">
        <v>812</v>
      </c>
      <c r="C16" s="306">
        <v>51000</v>
      </c>
      <c r="D16" s="305">
        <v>1700</v>
      </c>
      <c r="E16" s="301">
        <v>0.3125</v>
      </c>
      <c r="F16" s="302">
        <f t="shared" si="6"/>
        <v>7</v>
      </c>
      <c r="G16" s="302">
        <f t="shared" si="7"/>
        <v>30</v>
      </c>
      <c r="H16" s="302">
        <f t="shared" si="8"/>
        <v>0</v>
      </c>
      <c r="I16" s="302">
        <f t="shared" si="9"/>
        <v>7.5</v>
      </c>
      <c r="J16" s="300">
        <f t="shared" si="10"/>
        <v>6.8</v>
      </c>
      <c r="K16" s="303" t="str">
        <f t="shared" si="0"/>
        <v>8'49''</v>
      </c>
      <c r="X16" s="294">
        <v>429</v>
      </c>
      <c r="Y16" s="294" t="s">
        <v>808</v>
      </c>
      <c r="Z16" s="294" t="s">
        <v>809</v>
      </c>
      <c r="AA16" s="294" t="s">
        <v>233</v>
      </c>
      <c r="AB16" s="294" t="s">
        <v>789</v>
      </c>
      <c r="AC16" s="294" t="s">
        <v>785</v>
      </c>
      <c r="AD16" s="296">
        <v>4.6446759259259257E-2</v>
      </c>
      <c r="AE16" s="294">
        <v>13.456</v>
      </c>
      <c r="AF16" s="294">
        <v>11</v>
      </c>
    </row>
    <row r="17" spans="1:32" s="304" customFormat="1" ht="32" thickTop="1" thickBot="1">
      <c r="A17" s="308" t="s">
        <v>794</v>
      </c>
      <c r="B17" s="305" t="s">
        <v>811</v>
      </c>
      <c r="C17" s="306">
        <v>24400</v>
      </c>
      <c r="D17" s="305"/>
      <c r="E17" s="301">
        <v>0.10416666666666667</v>
      </c>
      <c r="F17" s="302">
        <f t="shared" si="6"/>
        <v>2</v>
      </c>
      <c r="G17" s="302">
        <f t="shared" si="7"/>
        <v>30</v>
      </c>
      <c r="H17" s="302">
        <f t="shared" si="8"/>
        <v>0</v>
      </c>
      <c r="I17" s="302">
        <f t="shared" si="9"/>
        <v>2.5</v>
      </c>
      <c r="J17" s="300">
        <f t="shared" si="10"/>
        <v>9.76</v>
      </c>
      <c r="K17" s="303" t="str">
        <f t="shared" si="0"/>
        <v>6'8''</v>
      </c>
      <c r="X17" s="294">
        <v>199</v>
      </c>
      <c r="Y17" s="294" t="s">
        <v>813</v>
      </c>
      <c r="Z17" s="294" t="s">
        <v>814</v>
      </c>
      <c r="AA17" s="294" t="s">
        <v>233</v>
      </c>
      <c r="AB17" s="294" t="s">
        <v>776</v>
      </c>
      <c r="AC17" s="294" t="s">
        <v>815</v>
      </c>
      <c r="AD17" s="296">
        <v>4.6226851851851852E-2</v>
      </c>
      <c r="AE17" s="294">
        <v>13.52</v>
      </c>
      <c r="AF17" s="294">
        <v>10</v>
      </c>
    </row>
    <row r="18" spans="1:32" s="304" customFormat="1" ht="32" thickTop="1" thickBot="1">
      <c r="A18" s="308" t="s">
        <v>794</v>
      </c>
      <c r="B18" s="309" t="s">
        <v>816</v>
      </c>
      <c r="C18" s="306">
        <v>26000</v>
      </c>
      <c r="D18" s="312">
        <v>1150</v>
      </c>
      <c r="E18" s="301">
        <v>0.14583333333333334</v>
      </c>
      <c r="F18" s="302">
        <f t="shared" si="6"/>
        <v>3</v>
      </c>
      <c r="G18" s="302">
        <f t="shared" si="7"/>
        <v>30</v>
      </c>
      <c r="H18" s="302">
        <f t="shared" si="8"/>
        <v>0</v>
      </c>
      <c r="I18" s="302">
        <f t="shared" si="9"/>
        <v>3.5</v>
      </c>
      <c r="J18" s="300">
        <f t="shared" si="10"/>
        <v>7.4285714285714288</v>
      </c>
      <c r="K18" s="303" t="str">
        <f t="shared" si="0"/>
        <v>8'4''</v>
      </c>
      <c r="X18" s="294">
        <v>199</v>
      </c>
      <c r="Y18" s="294" t="s">
        <v>813</v>
      </c>
      <c r="Z18" s="294" t="s">
        <v>814</v>
      </c>
      <c r="AA18" s="294" t="s">
        <v>233</v>
      </c>
      <c r="AB18" s="294" t="s">
        <v>776</v>
      </c>
      <c r="AC18" s="294" t="s">
        <v>815</v>
      </c>
      <c r="AD18" s="296">
        <v>4.6226851851851852E-2</v>
      </c>
      <c r="AE18" s="294">
        <v>13.52</v>
      </c>
      <c r="AF18" s="294">
        <v>10</v>
      </c>
    </row>
    <row r="19" spans="1:32" s="304" customFormat="1" ht="32" thickTop="1" thickBot="1">
      <c r="A19" s="308" t="s">
        <v>794</v>
      </c>
      <c r="B19" s="309" t="s">
        <v>817</v>
      </c>
      <c r="C19" s="306">
        <v>5600</v>
      </c>
      <c r="D19" s="312"/>
      <c r="E19" s="301">
        <v>7.0601851851851841E-3</v>
      </c>
      <c r="F19" s="302">
        <f t="shared" si="6"/>
        <v>0</v>
      </c>
      <c r="G19" s="302">
        <f t="shared" si="7"/>
        <v>10</v>
      </c>
      <c r="H19" s="302">
        <f t="shared" si="8"/>
        <v>10</v>
      </c>
      <c r="I19" s="302">
        <f t="shared" si="9"/>
        <v>0.16944444444444443</v>
      </c>
      <c r="J19" s="300">
        <f t="shared" si="10"/>
        <v>33.049180327868854</v>
      </c>
      <c r="K19" s="303" t="str">
        <f t="shared" si="0"/>
        <v>1'48''</v>
      </c>
      <c r="X19" s="294">
        <v>199</v>
      </c>
      <c r="Y19" s="294" t="s">
        <v>813</v>
      </c>
      <c r="Z19" s="294" t="s">
        <v>814</v>
      </c>
      <c r="AA19" s="294" t="s">
        <v>233</v>
      </c>
      <c r="AB19" s="294" t="s">
        <v>776</v>
      </c>
      <c r="AC19" s="294" t="s">
        <v>815</v>
      </c>
      <c r="AD19" s="296">
        <v>4.6226851851851852E-2</v>
      </c>
      <c r="AE19" s="294">
        <v>13.52</v>
      </c>
      <c r="AF19" s="294">
        <v>10</v>
      </c>
    </row>
    <row r="20" spans="1:32" s="304" customFormat="1" ht="17" thickTop="1" thickBot="1">
      <c r="A20" s="297" t="s">
        <v>818</v>
      </c>
      <c r="B20" s="309" t="s">
        <v>91</v>
      </c>
      <c r="C20" s="306">
        <v>42195</v>
      </c>
      <c r="D20" s="312"/>
      <c r="E20" s="307">
        <v>0.15625</v>
      </c>
      <c r="F20" s="312">
        <f t="shared" si="6"/>
        <v>3</v>
      </c>
      <c r="G20" s="312">
        <f t="shared" si="7"/>
        <v>45</v>
      </c>
      <c r="H20" s="312">
        <f t="shared" si="8"/>
        <v>0</v>
      </c>
      <c r="I20" s="312">
        <f t="shared" si="9"/>
        <v>3.75</v>
      </c>
      <c r="J20" s="312">
        <f t="shared" si="10"/>
        <v>11.252000000000001</v>
      </c>
      <c r="K20" s="303" t="str">
        <f t="shared" si="0"/>
        <v>5'19''</v>
      </c>
      <c r="X20" s="294">
        <v>225</v>
      </c>
      <c r="Y20" s="294" t="s">
        <v>819</v>
      </c>
      <c r="Z20" s="294" t="s">
        <v>820</v>
      </c>
      <c r="AA20" s="294" t="s">
        <v>233</v>
      </c>
      <c r="AB20" s="294" t="s">
        <v>776</v>
      </c>
      <c r="AC20" s="294">
        <v>0</v>
      </c>
      <c r="AD20" s="296">
        <v>4.8900462962962965E-2</v>
      </c>
      <c r="AE20" s="294">
        <v>12.781000000000001</v>
      </c>
      <c r="AF20" s="294">
        <v>19</v>
      </c>
    </row>
    <row r="21" spans="1:32" s="304" customFormat="1" ht="17" thickTop="1" thickBot="1">
      <c r="A21" s="297" t="s">
        <v>818</v>
      </c>
      <c r="B21" s="309" t="s">
        <v>91</v>
      </c>
      <c r="C21" s="306">
        <v>42195</v>
      </c>
      <c r="D21" s="312"/>
      <c r="E21" s="307">
        <v>0.14583333333333334</v>
      </c>
      <c r="F21" s="312">
        <f t="shared" si="6"/>
        <v>3</v>
      </c>
      <c r="G21" s="312">
        <f t="shared" si="7"/>
        <v>30</v>
      </c>
      <c r="H21" s="312">
        <f t="shared" si="8"/>
        <v>0</v>
      </c>
      <c r="I21" s="312">
        <f t="shared" si="9"/>
        <v>3.5</v>
      </c>
      <c r="J21" s="312">
        <f t="shared" si="10"/>
        <v>12.055714285714286</v>
      </c>
      <c r="K21" s="303" t="str">
        <f t="shared" si="0"/>
        <v>4'58''</v>
      </c>
      <c r="X21" s="294">
        <v>503</v>
      </c>
      <c r="Y21" s="294" t="s">
        <v>821</v>
      </c>
      <c r="Z21" s="294" t="s">
        <v>822</v>
      </c>
      <c r="AA21" s="294" t="s">
        <v>233</v>
      </c>
      <c r="AB21" s="294" t="s">
        <v>776</v>
      </c>
      <c r="AC21" s="294">
        <v>0</v>
      </c>
      <c r="AD21" s="296">
        <v>4.8912037037037039E-2</v>
      </c>
      <c r="AE21" s="294">
        <v>12.778</v>
      </c>
      <c r="AF21" s="294">
        <v>20</v>
      </c>
    </row>
    <row r="22" spans="1:32" s="304" customFormat="1" ht="17" thickTop="1" thickBot="1">
      <c r="A22" s="314" t="s">
        <v>823</v>
      </c>
      <c r="B22" s="309" t="s">
        <v>824</v>
      </c>
      <c r="C22" s="306">
        <v>21000</v>
      </c>
      <c r="D22" s="312"/>
      <c r="E22" s="307">
        <f>VALUE(CONCATENATE(RIGHT(CONCATENATE("0",INT(C22/(1000*J22))),2),":",INT(60*(C22/(1000*J22)-INT(C22/(1000*J22)))),":","00"))</f>
        <v>7.2916666666666671E-2</v>
      </c>
      <c r="F22" s="312">
        <f t="shared" si="6"/>
        <v>1</v>
      </c>
      <c r="G22" s="312">
        <f t="shared" si="7"/>
        <v>45</v>
      </c>
      <c r="H22" s="312">
        <f t="shared" si="8"/>
        <v>0</v>
      </c>
      <c r="I22" s="312">
        <f t="shared" si="9"/>
        <v>1.75</v>
      </c>
      <c r="J22" s="306">
        <v>12</v>
      </c>
      <c r="K22" s="303" t="str">
        <f t="shared" si="0"/>
        <v>5'0''</v>
      </c>
      <c r="X22" s="294">
        <v>344</v>
      </c>
      <c r="Y22" s="294" t="s">
        <v>787</v>
      </c>
      <c r="Z22" s="294" t="s">
        <v>825</v>
      </c>
      <c r="AA22" s="294" t="s">
        <v>233</v>
      </c>
      <c r="AB22" s="294" t="s">
        <v>826</v>
      </c>
      <c r="AC22" s="294" t="s">
        <v>827</v>
      </c>
      <c r="AD22" s="296">
        <v>4.8935185185185186E-2</v>
      </c>
      <c r="AE22" s="294">
        <v>12.772</v>
      </c>
      <c r="AF22" s="294">
        <v>22</v>
      </c>
    </row>
    <row r="23" spans="1:32" s="304" customFormat="1" ht="23" customHeight="1" thickTop="1" thickBot="1">
      <c r="A23" s="297" t="s">
        <v>794</v>
      </c>
      <c r="B23" s="309" t="s">
        <v>90</v>
      </c>
      <c r="C23" s="306">
        <v>21000</v>
      </c>
      <c r="D23" s="312"/>
      <c r="E23" s="301">
        <v>6.25E-2</v>
      </c>
      <c r="F23" s="312">
        <f t="shared" si="6"/>
        <v>1</v>
      </c>
      <c r="G23" s="312">
        <f t="shared" si="7"/>
        <v>30</v>
      </c>
      <c r="H23" s="312">
        <f t="shared" si="8"/>
        <v>0</v>
      </c>
      <c r="I23" s="312">
        <f t="shared" si="9"/>
        <v>1.5</v>
      </c>
      <c r="J23" s="312">
        <f t="shared" ref="J23:J24" si="11">C23/I23/1000</f>
        <v>14</v>
      </c>
      <c r="K23" s="303" t="str">
        <f t="shared" si="0"/>
        <v>4'17''</v>
      </c>
      <c r="X23" s="294">
        <v>199</v>
      </c>
      <c r="Y23" s="294" t="s">
        <v>813</v>
      </c>
      <c r="Z23" s="294" t="s">
        <v>814</v>
      </c>
      <c r="AA23" s="294" t="s">
        <v>233</v>
      </c>
      <c r="AB23" s="294" t="s">
        <v>776</v>
      </c>
      <c r="AC23" s="294" t="s">
        <v>815</v>
      </c>
      <c r="AD23" s="296">
        <v>4.6226851851851852E-2</v>
      </c>
      <c r="AE23" s="294">
        <v>13.52</v>
      </c>
      <c r="AF23" s="294">
        <v>10</v>
      </c>
    </row>
    <row r="24" spans="1:32" s="304" customFormat="1" ht="23" customHeight="1" thickTop="1" thickBot="1">
      <c r="A24" s="297" t="s">
        <v>794</v>
      </c>
      <c r="B24" s="309" t="s">
        <v>90</v>
      </c>
      <c r="C24" s="306">
        <v>21000</v>
      </c>
      <c r="D24" s="312"/>
      <c r="E24" s="301">
        <v>6.9444444444444434E-2</v>
      </c>
      <c r="F24" s="312">
        <f t="shared" si="6"/>
        <v>1</v>
      </c>
      <c r="G24" s="312">
        <f t="shared" si="7"/>
        <v>40</v>
      </c>
      <c r="H24" s="312">
        <f t="shared" si="8"/>
        <v>0</v>
      </c>
      <c r="I24" s="312">
        <f t="shared" si="9"/>
        <v>1.6666666666666665</v>
      </c>
      <c r="J24" s="312">
        <f t="shared" si="11"/>
        <v>12.600000000000001</v>
      </c>
      <c r="K24" s="303" t="str">
        <f t="shared" si="0"/>
        <v>4'45''</v>
      </c>
      <c r="X24" s="294">
        <v>199</v>
      </c>
      <c r="Y24" s="294" t="s">
        <v>813</v>
      </c>
      <c r="Z24" s="294" t="s">
        <v>814</v>
      </c>
      <c r="AA24" s="294" t="s">
        <v>233</v>
      </c>
      <c r="AB24" s="294" t="s">
        <v>776</v>
      </c>
      <c r="AC24" s="294" t="s">
        <v>815</v>
      </c>
      <c r="AD24" s="296">
        <v>4.6226851851851852E-2</v>
      </c>
      <c r="AE24" s="294">
        <v>13.52</v>
      </c>
      <c r="AF24" s="294">
        <v>10</v>
      </c>
    </row>
    <row r="25" spans="1:32" s="304" customFormat="1" ht="22" customHeight="1" thickTop="1" thickBot="1">
      <c r="A25" s="314" t="s">
        <v>823</v>
      </c>
      <c r="B25" s="305" t="s">
        <v>828</v>
      </c>
      <c r="C25" s="306">
        <v>14000</v>
      </c>
      <c r="D25" s="305"/>
      <c r="E25" s="307">
        <f>VALUE(CONCATENATE(RIGHT(CONCATENATE("0",INT(C25/(1000*J25))),2),":",INT(60*(C25/(1000*J25)-INT(C25/(1000*J25)))),":","00"))</f>
        <v>5.8333333333333327E-2</v>
      </c>
      <c r="F25" s="312">
        <f t="shared" si="6"/>
        <v>1</v>
      </c>
      <c r="G25" s="312">
        <f t="shared" si="7"/>
        <v>24</v>
      </c>
      <c r="H25" s="312">
        <f t="shared" si="8"/>
        <v>0</v>
      </c>
      <c r="I25" s="312">
        <f t="shared" si="9"/>
        <v>1.4</v>
      </c>
      <c r="J25" s="306">
        <v>10</v>
      </c>
      <c r="K25" s="303" t="str">
        <f t="shared" si="0"/>
        <v>6'0''</v>
      </c>
      <c r="X25" s="294">
        <v>325</v>
      </c>
      <c r="Y25" s="294" t="s">
        <v>792</v>
      </c>
      <c r="Z25" s="294" t="s">
        <v>793</v>
      </c>
      <c r="AA25" s="294" t="s">
        <v>233</v>
      </c>
      <c r="AB25" s="294" t="s">
        <v>776</v>
      </c>
      <c r="AC25" s="294" t="s">
        <v>790</v>
      </c>
      <c r="AD25" s="296">
        <v>4.4733796296296292E-2</v>
      </c>
      <c r="AE25" s="294">
        <v>13.972</v>
      </c>
      <c r="AF25" s="294">
        <v>5</v>
      </c>
    </row>
    <row r="26" spans="1:32" s="304" customFormat="1" ht="32" thickTop="1" thickBot="1">
      <c r="A26" s="297" t="s">
        <v>778</v>
      </c>
      <c r="B26" s="298" t="s">
        <v>829</v>
      </c>
      <c r="C26" s="299">
        <v>23000</v>
      </c>
      <c r="D26" s="300"/>
      <c r="E26" s="301">
        <v>0.10738425925925926</v>
      </c>
      <c r="F26" s="302">
        <f t="shared" si="6"/>
        <v>2</v>
      </c>
      <c r="G26" s="302">
        <f t="shared" si="7"/>
        <v>34</v>
      </c>
      <c r="H26" s="302">
        <f t="shared" si="8"/>
        <v>38</v>
      </c>
      <c r="I26" s="302">
        <f t="shared" si="9"/>
        <v>2.5772222222222219</v>
      </c>
      <c r="J26" s="300">
        <f t="shared" ref="J26:J29" si="12">C26/I26/1000</f>
        <v>8.9243371416253527</v>
      </c>
      <c r="K26" s="303" t="str">
        <f t="shared" si="0"/>
        <v>6'43''</v>
      </c>
      <c r="X26" s="294">
        <v>381</v>
      </c>
      <c r="Y26" s="294" t="s">
        <v>787</v>
      </c>
      <c r="Z26" s="294" t="s">
        <v>788</v>
      </c>
      <c r="AA26" s="294" t="s">
        <v>233</v>
      </c>
      <c r="AB26" s="294" t="s">
        <v>789</v>
      </c>
      <c r="AC26" s="294" t="s">
        <v>790</v>
      </c>
      <c r="AD26" s="296">
        <v>4.4166666666666667E-2</v>
      </c>
      <c r="AE26" s="294">
        <v>14.151</v>
      </c>
      <c r="AF26" s="294">
        <v>4</v>
      </c>
    </row>
    <row r="27" spans="1:32" s="304" customFormat="1" ht="32" thickTop="1" thickBot="1">
      <c r="A27" s="297" t="s">
        <v>778</v>
      </c>
      <c r="B27" s="298" t="s">
        <v>830</v>
      </c>
      <c r="C27" s="299">
        <v>21000</v>
      </c>
      <c r="D27" s="300"/>
      <c r="E27" s="301">
        <v>7.7777777777777779E-2</v>
      </c>
      <c r="F27" s="302">
        <f t="shared" si="6"/>
        <v>1</v>
      </c>
      <c r="G27" s="302">
        <f t="shared" si="7"/>
        <v>52</v>
      </c>
      <c r="H27" s="302">
        <f t="shared" si="8"/>
        <v>0</v>
      </c>
      <c r="I27" s="302">
        <f t="shared" si="9"/>
        <v>1.8666666666666667</v>
      </c>
      <c r="J27" s="300">
        <f t="shared" si="12"/>
        <v>11.25</v>
      </c>
      <c r="K27" s="303" t="str">
        <f t="shared" si="0"/>
        <v>5'20''</v>
      </c>
      <c r="X27" s="294">
        <v>381</v>
      </c>
      <c r="Y27" s="294" t="s">
        <v>787</v>
      </c>
      <c r="Z27" s="294" t="s">
        <v>788</v>
      </c>
      <c r="AA27" s="294" t="s">
        <v>233</v>
      </c>
      <c r="AB27" s="294" t="s">
        <v>789</v>
      </c>
      <c r="AC27" s="294" t="s">
        <v>790</v>
      </c>
      <c r="AD27" s="296">
        <v>4.4166666666666667E-2</v>
      </c>
      <c r="AE27" s="294">
        <v>14.151</v>
      </c>
      <c r="AF27" s="294">
        <v>4</v>
      </c>
    </row>
    <row r="28" spans="1:32" ht="17" thickTop="1" thickBot="1">
      <c r="A28" s="297" t="s">
        <v>778</v>
      </c>
      <c r="B28" s="298" t="s">
        <v>831</v>
      </c>
      <c r="C28" s="299">
        <v>21000</v>
      </c>
      <c r="D28" s="300"/>
      <c r="E28" s="301">
        <v>7.8807870370370361E-2</v>
      </c>
      <c r="F28" s="302">
        <f t="shared" si="6"/>
        <v>1</v>
      </c>
      <c r="G28" s="302">
        <f t="shared" si="7"/>
        <v>53</v>
      </c>
      <c r="H28" s="302">
        <f t="shared" si="8"/>
        <v>29</v>
      </c>
      <c r="I28" s="302">
        <f t="shared" si="9"/>
        <v>1.8913888888888888</v>
      </c>
      <c r="J28" s="300">
        <f t="shared" si="12"/>
        <v>11.102951975326775</v>
      </c>
      <c r="K28" s="303" t="str">
        <f t="shared" si="0"/>
        <v>5'24''</v>
      </c>
      <c r="X28" s="294">
        <v>355</v>
      </c>
      <c r="Y28" s="294" t="s">
        <v>832</v>
      </c>
      <c r="Z28" s="294" t="s">
        <v>833</v>
      </c>
      <c r="AA28" s="294" t="s">
        <v>233</v>
      </c>
      <c r="AB28" s="294" t="s">
        <v>776</v>
      </c>
      <c r="AC28" s="294">
        <v>0</v>
      </c>
      <c r="AD28" s="296">
        <v>4.9999999999999996E-2</v>
      </c>
      <c r="AE28" s="294">
        <v>12.5</v>
      </c>
      <c r="AF28" s="294">
        <v>29</v>
      </c>
    </row>
    <row r="29" spans="1:32" ht="17" thickTop="1" thickBot="1">
      <c r="A29" s="297" t="s">
        <v>778</v>
      </c>
      <c r="B29" s="298" t="s">
        <v>834</v>
      </c>
      <c r="C29" s="299">
        <v>8000</v>
      </c>
      <c r="D29" s="300"/>
      <c r="E29" s="301">
        <v>3.2638888888888891E-2</v>
      </c>
      <c r="F29" s="302">
        <f t="shared" si="6"/>
        <v>0</v>
      </c>
      <c r="G29" s="302">
        <f t="shared" si="7"/>
        <v>47</v>
      </c>
      <c r="H29" s="302">
        <f t="shared" si="8"/>
        <v>0</v>
      </c>
      <c r="I29" s="302">
        <f t="shared" si="9"/>
        <v>0.78333333333333333</v>
      </c>
      <c r="J29" s="300">
        <f t="shared" si="12"/>
        <v>10.212765957446809</v>
      </c>
      <c r="K29" s="303" t="str">
        <f t="shared" si="0"/>
        <v>5'52''</v>
      </c>
      <c r="X29" s="294">
        <v>355</v>
      </c>
      <c r="Y29" s="294" t="s">
        <v>832</v>
      </c>
      <c r="Z29" s="294" t="s">
        <v>833</v>
      </c>
      <c r="AA29" s="294" t="s">
        <v>233</v>
      </c>
      <c r="AB29" s="294" t="s">
        <v>776</v>
      </c>
      <c r="AC29" s="294">
        <v>0</v>
      </c>
      <c r="AD29" s="296">
        <v>4.9999999999999996E-2</v>
      </c>
      <c r="AE29" s="294">
        <v>12.5</v>
      </c>
      <c r="AF29" s="294">
        <v>29</v>
      </c>
    </row>
    <row r="30" spans="1:32" s="304" customFormat="1" ht="22" customHeight="1" thickTop="1" thickBot="1">
      <c r="A30" s="314" t="s">
        <v>835</v>
      </c>
      <c r="B30" s="305" t="s">
        <v>113</v>
      </c>
      <c r="C30" s="306">
        <v>10000</v>
      </c>
      <c r="D30" s="305"/>
      <c r="E30" s="307">
        <f>VALUE(CONCATENATE(RIGHT(CONCATENATE("0",INT(C30/(1000*J30))),2),":",INT(60*(C30/(1000*J30)-INT(C30/(1000*J30)))),":","00"))</f>
        <v>3.4722222222222224E-2</v>
      </c>
      <c r="F30" s="312">
        <f t="shared" si="6"/>
        <v>0</v>
      </c>
      <c r="G30" s="312">
        <f t="shared" si="7"/>
        <v>50</v>
      </c>
      <c r="H30" s="312">
        <f t="shared" si="8"/>
        <v>0</v>
      </c>
      <c r="I30" s="312">
        <f t="shared" si="9"/>
        <v>0.83333333333333337</v>
      </c>
      <c r="J30" s="306">
        <v>12</v>
      </c>
      <c r="K30" s="303" t="str">
        <f t="shared" si="0"/>
        <v>5'0''</v>
      </c>
      <c r="X30" s="294">
        <v>325</v>
      </c>
      <c r="Y30" s="294" t="s">
        <v>792</v>
      </c>
      <c r="Z30" s="294" t="s">
        <v>793</v>
      </c>
      <c r="AA30" s="294" t="s">
        <v>233</v>
      </c>
      <c r="AB30" s="294" t="s">
        <v>776</v>
      </c>
      <c r="AC30" s="294" t="s">
        <v>790</v>
      </c>
      <c r="AD30" s="296">
        <v>4.4733796296296292E-2</v>
      </c>
      <c r="AE30" s="294">
        <v>13.972</v>
      </c>
      <c r="AF30" s="294">
        <v>5</v>
      </c>
    </row>
    <row r="31" spans="1:32" s="304" customFormat="1" ht="23" customHeight="1" thickTop="1" thickBot="1">
      <c r="A31" s="297" t="s">
        <v>794</v>
      </c>
      <c r="B31" s="309" t="s">
        <v>90</v>
      </c>
      <c r="C31" s="306">
        <v>21100</v>
      </c>
      <c r="D31" s="312"/>
      <c r="E31" s="301">
        <v>7.3263888888888892E-2</v>
      </c>
      <c r="F31" s="312">
        <f t="shared" si="6"/>
        <v>1</v>
      </c>
      <c r="G31" s="312">
        <f t="shared" si="7"/>
        <v>45</v>
      </c>
      <c r="H31" s="312">
        <f t="shared" si="8"/>
        <v>30</v>
      </c>
      <c r="I31" s="312">
        <f t="shared" si="9"/>
        <v>1.7583333333333333</v>
      </c>
      <c r="J31" s="312">
        <f t="shared" ref="J31:J34" si="13">C31/I31/1000</f>
        <v>12</v>
      </c>
      <c r="K31" s="303" t="str">
        <f t="shared" si="0"/>
        <v>5'0''</v>
      </c>
      <c r="X31" s="294">
        <v>199</v>
      </c>
      <c r="Y31" s="294" t="s">
        <v>813</v>
      </c>
      <c r="Z31" s="294" t="s">
        <v>814</v>
      </c>
      <c r="AA31" s="294" t="s">
        <v>233</v>
      </c>
      <c r="AB31" s="294" t="s">
        <v>776</v>
      </c>
      <c r="AC31" s="294" t="s">
        <v>815</v>
      </c>
      <c r="AD31" s="296">
        <v>4.6226851851851852E-2</v>
      </c>
      <c r="AE31" s="294">
        <v>13.52</v>
      </c>
      <c r="AF31" s="294">
        <v>10</v>
      </c>
    </row>
    <row r="32" spans="1:32" ht="20" customHeight="1" thickTop="1" thickBot="1">
      <c r="A32" s="297" t="s">
        <v>794</v>
      </c>
      <c r="B32" s="309" t="s">
        <v>113</v>
      </c>
      <c r="C32" s="306">
        <v>10000</v>
      </c>
      <c r="D32" s="312"/>
      <c r="E32" s="301">
        <v>3.125E-2</v>
      </c>
      <c r="F32" s="312">
        <f t="shared" si="6"/>
        <v>0</v>
      </c>
      <c r="G32" s="312">
        <f t="shared" si="7"/>
        <v>45</v>
      </c>
      <c r="H32" s="312">
        <f t="shared" si="8"/>
        <v>0</v>
      </c>
      <c r="I32" s="312">
        <f t="shared" si="9"/>
        <v>0.75</v>
      </c>
      <c r="J32" s="312">
        <f t="shared" si="13"/>
        <v>13.333333333333334</v>
      </c>
      <c r="K32" s="303" t="str">
        <f t="shared" si="0"/>
        <v>4'30''</v>
      </c>
      <c r="X32" s="294">
        <v>475</v>
      </c>
      <c r="Y32" s="294" t="s">
        <v>836</v>
      </c>
      <c r="Z32" s="294" t="s">
        <v>837</v>
      </c>
      <c r="AA32" s="294" t="s">
        <v>233</v>
      </c>
      <c r="AB32" s="294" t="s">
        <v>838</v>
      </c>
      <c r="AC32" s="294" t="s">
        <v>839</v>
      </c>
      <c r="AD32" s="296">
        <v>5.0300925925925923E-2</v>
      </c>
      <c r="AE32" s="294">
        <v>12.425000000000001</v>
      </c>
      <c r="AF32" s="294">
        <v>33</v>
      </c>
    </row>
    <row r="33" spans="1:32" ht="20" customHeight="1" thickTop="1" thickBot="1">
      <c r="A33" s="297" t="s">
        <v>794</v>
      </c>
      <c r="B33" s="309" t="s">
        <v>840</v>
      </c>
      <c r="C33" s="306">
        <v>42295</v>
      </c>
      <c r="D33" s="312"/>
      <c r="E33" s="301">
        <v>0.15625</v>
      </c>
      <c r="F33" s="312">
        <f t="shared" si="6"/>
        <v>3</v>
      </c>
      <c r="G33" s="312">
        <f t="shared" si="7"/>
        <v>45</v>
      </c>
      <c r="H33" s="312">
        <f t="shared" si="8"/>
        <v>0</v>
      </c>
      <c r="I33" s="312">
        <f t="shared" si="9"/>
        <v>3.75</v>
      </c>
      <c r="J33" s="312">
        <f t="shared" si="13"/>
        <v>11.278666666666666</v>
      </c>
      <c r="K33" s="303" t="str">
        <f t="shared" si="0"/>
        <v>5'19''</v>
      </c>
      <c r="X33" s="294">
        <v>475</v>
      </c>
      <c r="Y33" s="294" t="s">
        <v>836</v>
      </c>
      <c r="Z33" s="294" t="s">
        <v>837</v>
      </c>
      <c r="AA33" s="294" t="s">
        <v>233</v>
      </c>
      <c r="AB33" s="294" t="s">
        <v>838</v>
      </c>
      <c r="AC33" s="294" t="s">
        <v>839</v>
      </c>
      <c r="AD33" s="296">
        <v>5.0300925925925923E-2</v>
      </c>
      <c r="AE33" s="294">
        <v>12.425000000000001</v>
      </c>
      <c r="AF33" s="294">
        <v>33</v>
      </c>
    </row>
    <row r="34" spans="1:32" ht="20" customHeight="1" thickTop="1" thickBot="1">
      <c r="A34" s="297" t="s">
        <v>794</v>
      </c>
      <c r="B34" s="309" t="s">
        <v>841</v>
      </c>
      <c r="C34" s="306">
        <v>42295</v>
      </c>
      <c r="D34" s="312"/>
      <c r="E34" s="301">
        <v>0.14583333333333334</v>
      </c>
      <c r="F34" s="312">
        <f t="shared" si="6"/>
        <v>3</v>
      </c>
      <c r="G34" s="312">
        <f t="shared" si="7"/>
        <v>30</v>
      </c>
      <c r="H34" s="312">
        <f t="shared" si="8"/>
        <v>0</v>
      </c>
      <c r="I34" s="312">
        <f t="shared" si="9"/>
        <v>3.5</v>
      </c>
      <c r="J34" s="312">
        <f t="shared" si="13"/>
        <v>12.084285714285715</v>
      </c>
      <c r="K34" s="303" t="str">
        <f t="shared" si="0"/>
        <v>4'57''</v>
      </c>
      <c r="X34" s="294">
        <v>475</v>
      </c>
      <c r="Y34" s="294" t="s">
        <v>836</v>
      </c>
      <c r="Z34" s="294" t="s">
        <v>837</v>
      </c>
      <c r="AA34" s="294" t="s">
        <v>233</v>
      </c>
      <c r="AB34" s="294" t="s">
        <v>838</v>
      </c>
      <c r="AC34" s="294" t="s">
        <v>839</v>
      </c>
      <c r="AD34" s="296">
        <v>5.0300925925925923E-2</v>
      </c>
      <c r="AE34" s="294">
        <v>12.425000000000001</v>
      </c>
      <c r="AF34" s="294">
        <v>33</v>
      </c>
    </row>
    <row r="35" spans="1:32" s="304" customFormat="1" ht="22" customHeight="1" thickTop="1" thickBot="1">
      <c r="A35" s="314" t="s">
        <v>835</v>
      </c>
      <c r="B35" s="305" t="s">
        <v>842</v>
      </c>
      <c r="C35" s="306">
        <v>23300</v>
      </c>
      <c r="D35" s="305"/>
      <c r="E35" s="307">
        <f>VALUE(CONCATENATE(RIGHT(CONCATENATE("0",INT(C35/(1000*J35))),2),":",INT(60*(C35/(1000*J35)-INT(C35/(1000*J35)))),":","00"))</f>
        <v>9.2361111111111116E-2</v>
      </c>
      <c r="F35" s="312">
        <f t="shared" si="6"/>
        <v>2</v>
      </c>
      <c r="G35" s="312">
        <f t="shared" si="7"/>
        <v>13</v>
      </c>
      <c r="H35" s="312">
        <f t="shared" si="8"/>
        <v>0</v>
      </c>
      <c r="I35" s="312">
        <f t="shared" si="9"/>
        <v>2.2166666666666668</v>
      </c>
      <c r="J35" s="306">
        <v>10.5</v>
      </c>
      <c r="K35" s="303" t="str">
        <f t="shared" si="0"/>
        <v>5'42''</v>
      </c>
      <c r="X35" s="294">
        <v>325</v>
      </c>
      <c r="Y35" s="294" t="s">
        <v>792</v>
      </c>
      <c r="Z35" s="294" t="s">
        <v>793</v>
      </c>
      <c r="AA35" s="294" t="s">
        <v>233</v>
      </c>
      <c r="AB35" s="294" t="s">
        <v>776</v>
      </c>
      <c r="AC35" s="294" t="s">
        <v>790</v>
      </c>
      <c r="AD35" s="296">
        <v>4.4733796296296292E-2</v>
      </c>
      <c r="AE35" s="294">
        <v>13.972</v>
      </c>
      <c r="AF35" s="294">
        <v>5</v>
      </c>
    </row>
    <row r="36" spans="1:32" s="304" customFormat="1" ht="17" thickTop="1" thickBot="1">
      <c r="A36" s="314" t="s">
        <v>835</v>
      </c>
      <c r="B36" s="305" t="s">
        <v>840</v>
      </c>
      <c r="C36" s="306">
        <v>42195</v>
      </c>
      <c r="D36" s="305"/>
      <c r="E36" s="307">
        <f>VALUE(CONCATENATE(RIGHT(CONCATENATE("0",INT(C36/(1000*J36))),2),":",INT(60*(C36/(1000*J36)-INT(C36/(1000*J36)))),":","00"))</f>
        <v>0.14583333333333334</v>
      </c>
      <c r="F36" s="312">
        <f t="shared" ref="F36" si="14">HOUR(E36)</f>
        <v>3</v>
      </c>
      <c r="G36" s="312">
        <f t="shared" ref="G36" si="15">MINUTE(E36)</f>
        <v>30</v>
      </c>
      <c r="H36" s="312">
        <f t="shared" ref="H36" si="16">SECOND(E36)</f>
        <v>0</v>
      </c>
      <c r="I36" s="312">
        <f t="shared" ref="I36" si="17">F36+(G36/60)+(H36/3600)</f>
        <v>3.5</v>
      </c>
      <c r="J36" s="306">
        <v>12</v>
      </c>
      <c r="K36" s="303" t="str">
        <f t="shared" ref="K36" si="18">CONCATENATE(INT(60/J36),"'",INT(60*(60/J36-INT(60/J36))),"''")</f>
        <v>5'0''</v>
      </c>
      <c r="X36" s="294">
        <v>503</v>
      </c>
      <c r="Y36" s="294" t="s">
        <v>821</v>
      </c>
      <c r="Z36" s="294" t="s">
        <v>822</v>
      </c>
      <c r="AA36" s="294" t="s">
        <v>233</v>
      </c>
      <c r="AB36" s="294" t="s">
        <v>776</v>
      </c>
      <c r="AC36" s="294">
        <v>0</v>
      </c>
      <c r="AD36" s="296">
        <v>4.8912037037037039E-2</v>
      </c>
      <c r="AE36" s="294">
        <v>12.778</v>
      </c>
      <c r="AF36" s="294">
        <v>20</v>
      </c>
    </row>
    <row r="37" spans="1:32" ht="31" thickTop="1">
      <c r="X37" s="294">
        <v>195</v>
      </c>
      <c r="Y37" s="294" t="s">
        <v>844</v>
      </c>
      <c r="Z37" s="294" t="s">
        <v>845</v>
      </c>
      <c r="AA37" s="294" t="s">
        <v>233</v>
      </c>
      <c r="AB37" s="294" t="s">
        <v>789</v>
      </c>
      <c r="AC37" s="294" t="s">
        <v>846</v>
      </c>
      <c r="AD37" s="296">
        <v>5.0555555555555555E-2</v>
      </c>
      <c r="AE37" s="294">
        <v>12.363</v>
      </c>
      <c r="AF37" s="294">
        <v>38</v>
      </c>
    </row>
    <row r="38" spans="1:32" ht="30">
      <c r="X38" s="294">
        <v>141</v>
      </c>
      <c r="Y38" s="294" t="s">
        <v>847</v>
      </c>
      <c r="Z38" s="294" t="s">
        <v>848</v>
      </c>
      <c r="AA38" s="294" t="s">
        <v>233</v>
      </c>
      <c r="AB38" s="294" t="s">
        <v>838</v>
      </c>
      <c r="AC38" s="294" t="s">
        <v>849</v>
      </c>
      <c r="AD38" s="296">
        <v>5.0659722222222224E-2</v>
      </c>
      <c r="AE38" s="294">
        <v>12.337</v>
      </c>
      <c r="AF38" s="294">
        <v>39</v>
      </c>
    </row>
    <row r="39" spans="1:32">
      <c r="X39" s="294">
        <v>152</v>
      </c>
      <c r="Y39" s="294" t="s">
        <v>850</v>
      </c>
      <c r="Z39" s="294" t="s">
        <v>851</v>
      </c>
      <c r="AA39" s="294" t="s">
        <v>233</v>
      </c>
      <c r="AB39" s="294" t="s">
        <v>776</v>
      </c>
      <c r="AC39" s="294">
        <v>0</v>
      </c>
      <c r="AD39" s="296">
        <v>5.1030092592592592E-2</v>
      </c>
      <c r="AE39" s="294">
        <v>12.247999999999999</v>
      </c>
      <c r="AF39" s="294">
        <v>40</v>
      </c>
    </row>
    <row r="40" spans="1:32" ht="30">
      <c r="X40" s="294">
        <v>153</v>
      </c>
      <c r="Y40" s="294" t="s">
        <v>852</v>
      </c>
      <c r="Z40" s="294" t="s">
        <v>853</v>
      </c>
      <c r="AA40" s="294" t="s">
        <v>233</v>
      </c>
      <c r="AB40" s="294" t="s">
        <v>789</v>
      </c>
      <c r="AC40" s="294" t="s">
        <v>790</v>
      </c>
      <c r="AD40" s="296">
        <v>5.1111111111111107E-2</v>
      </c>
      <c r="AE40" s="294">
        <v>12.228</v>
      </c>
      <c r="AF40" s="294">
        <v>41</v>
      </c>
    </row>
    <row r="41" spans="1:32" ht="30">
      <c r="X41" s="294">
        <v>166</v>
      </c>
      <c r="Y41" s="294" t="s">
        <v>854</v>
      </c>
      <c r="Z41" s="294" t="s">
        <v>855</v>
      </c>
      <c r="AA41" s="294" t="s">
        <v>233</v>
      </c>
      <c r="AB41" s="294" t="s">
        <v>789</v>
      </c>
      <c r="AC41" s="294" t="s">
        <v>815</v>
      </c>
      <c r="AD41" s="296">
        <v>5.1284722222222225E-2</v>
      </c>
      <c r="AE41" s="294">
        <v>12.186999999999999</v>
      </c>
      <c r="AF41" s="294">
        <v>42</v>
      </c>
    </row>
    <row r="42" spans="1:32" ht="45">
      <c r="X42" s="294">
        <v>380</v>
      </c>
      <c r="Y42" s="294" t="s">
        <v>856</v>
      </c>
      <c r="Z42" s="294" t="s">
        <v>857</v>
      </c>
      <c r="AA42" s="294" t="s">
        <v>233</v>
      </c>
      <c r="AB42" s="294" t="s">
        <v>838</v>
      </c>
      <c r="AC42" s="294" t="s">
        <v>858</v>
      </c>
      <c r="AD42" s="296">
        <v>5.1493055555555556E-2</v>
      </c>
      <c r="AE42" s="294">
        <v>12.138</v>
      </c>
      <c r="AF42" s="294">
        <v>43</v>
      </c>
    </row>
    <row r="43" spans="1:32" ht="30">
      <c r="X43" s="294">
        <v>289</v>
      </c>
      <c r="Y43" s="294" t="s">
        <v>859</v>
      </c>
      <c r="Z43" s="294" t="s">
        <v>860</v>
      </c>
      <c r="AA43" s="294" t="s">
        <v>233</v>
      </c>
      <c r="AB43" s="294" t="s">
        <v>776</v>
      </c>
      <c r="AC43" s="294" t="s">
        <v>861</v>
      </c>
      <c r="AD43" s="296">
        <v>5.1585648148148144E-2</v>
      </c>
      <c r="AE43" s="294">
        <v>12.116</v>
      </c>
      <c r="AF43" s="294">
        <v>44</v>
      </c>
    </row>
    <row r="44" spans="1:32" ht="30">
      <c r="X44" s="294">
        <v>275</v>
      </c>
      <c r="Y44" s="294" t="s">
        <v>862</v>
      </c>
      <c r="Z44" s="294" t="s">
        <v>863</v>
      </c>
      <c r="AA44" s="294" t="s">
        <v>233</v>
      </c>
      <c r="AB44" s="294" t="s">
        <v>776</v>
      </c>
      <c r="AC44" s="294" t="s">
        <v>864</v>
      </c>
      <c r="AD44" s="296">
        <v>5.1608796296296298E-2</v>
      </c>
      <c r="AE44" s="294">
        <v>12.11</v>
      </c>
      <c r="AF44" s="294">
        <v>45</v>
      </c>
    </row>
    <row r="45" spans="1:32" ht="30">
      <c r="X45" s="294">
        <v>259</v>
      </c>
      <c r="Y45" s="294" t="s">
        <v>865</v>
      </c>
      <c r="Z45" s="294" t="s">
        <v>866</v>
      </c>
      <c r="AA45" s="294" t="s">
        <v>233</v>
      </c>
      <c r="AB45" s="294" t="s">
        <v>776</v>
      </c>
      <c r="AC45" s="294">
        <v>0</v>
      </c>
      <c r="AD45" s="296">
        <v>5.1643518518518526E-2</v>
      </c>
      <c r="AE45" s="294">
        <v>12.102</v>
      </c>
      <c r="AF45" s="294">
        <v>46</v>
      </c>
    </row>
    <row r="46" spans="1:32" ht="30">
      <c r="X46" s="294">
        <v>364</v>
      </c>
      <c r="Y46" s="294" t="s">
        <v>867</v>
      </c>
      <c r="Z46" s="294" t="s">
        <v>868</v>
      </c>
      <c r="AA46" s="294" t="s">
        <v>233</v>
      </c>
      <c r="AB46" s="294" t="s">
        <v>838</v>
      </c>
      <c r="AC46" s="294">
        <v>0</v>
      </c>
      <c r="AD46" s="296">
        <v>5.167824074074074E-2</v>
      </c>
      <c r="AE46" s="294">
        <v>12.093999999999999</v>
      </c>
      <c r="AF46" s="294">
        <v>47</v>
      </c>
    </row>
    <row r="47" spans="1:32">
      <c r="X47" s="294">
        <v>437</v>
      </c>
      <c r="Y47" s="294" t="s">
        <v>869</v>
      </c>
      <c r="Z47" s="294" t="s">
        <v>870</v>
      </c>
      <c r="AA47" s="294" t="s">
        <v>233</v>
      </c>
      <c r="AB47" s="294" t="s">
        <v>871</v>
      </c>
      <c r="AC47" s="294">
        <v>0</v>
      </c>
      <c r="AD47" s="296">
        <v>5.1701388888888887E-2</v>
      </c>
      <c r="AE47" s="294">
        <v>12.089</v>
      </c>
      <c r="AF47" s="294">
        <v>48</v>
      </c>
    </row>
    <row r="48" spans="1:32" ht="30">
      <c r="X48" s="294">
        <v>135</v>
      </c>
      <c r="Y48" s="294" t="s">
        <v>872</v>
      </c>
      <c r="Z48" s="294" t="s">
        <v>873</v>
      </c>
      <c r="AA48" s="294" t="s">
        <v>233</v>
      </c>
      <c r="AB48" s="294" t="s">
        <v>826</v>
      </c>
      <c r="AC48" s="294" t="s">
        <v>874</v>
      </c>
      <c r="AD48" s="296">
        <v>5.1736111111111115E-2</v>
      </c>
      <c r="AE48" s="294">
        <v>12.081</v>
      </c>
      <c r="AF48" s="294">
        <v>49</v>
      </c>
    </row>
    <row r="49" spans="24:32" ht="30">
      <c r="X49" s="294">
        <v>428</v>
      </c>
      <c r="Y49" s="294" t="s">
        <v>875</v>
      </c>
      <c r="Z49" s="294" t="s">
        <v>860</v>
      </c>
      <c r="AA49" s="294" t="s">
        <v>233</v>
      </c>
      <c r="AB49" s="294" t="s">
        <v>776</v>
      </c>
      <c r="AC49" s="294" t="s">
        <v>785</v>
      </c>
      <c r="AD49" s="296">
        <v>5.1875000000000004E-2</v>
      </c>
      <c r="AE49" s="294">
        <v>12.048</v>
      </c>
      <c r="AF49" s="294">
        <v>50</v>
      </c>
    </row>
    <row r="50" spans="24:32">
      <c r="X50" s="294">
        <v>206</v>
      </c>
      <c r="Y50" s="294" t="s">
        <v>876</v>
      </c>
      <c r="Z50" s="294" t="s">
        <v>781</v>
      </c>
      <c r="AA50" s="294" t="s">
        <v>233</v>
      </c>
      <c r="AB50" s="294" t="s">
        <v>776</v>
      </c>
      <c r="AC50" s="294" t="s">
        <v>877</v>
      </c>
      <c r="AD50" s="296">
        <v>5.1898148148148145E-2</v>
      </c>
      <c r="AE50" s="294">
        <v>12.042999999999999</v>
      </c>
      <c r="AF50" s="294">
        <v>51</v>
      </c>
    </row>
    <row r="51" spans="24:32" ht="30">
      <c r="X51" s="294">
        <v>410</v>
      </c>
      <c r="Y51" s="294" t="s">
        <v>878</v>
      </c>
      <c r="Z51" s="294" t="s">
        <v>879</v>
      </c>
      <c r="AA51" s="294" t="s">
        <v>233</v>
      </c>
      <c r="AB51" s="294" t="s">
        <v>880</v>
      </c>
      <c r="AC51" s="294" t="s">
        <v>785</v>
      </c>
      <c r="AD51" s="296">
        <v>5.1944444444444439E-2</v>
      </c>
      <c r="AE51" s="294">
        <v>12.032</v>
      </c>
      <c r="AF51" s="294">
        <v>52</v>
      </c>
    </row>
    <row r="52" spans="24:32">
      <c r="X52" s="294">
        <v>53</v>
      </c>
      <c r="Y52" s="294" t="s">
        <v>881</v>
      </c>
      <c r="Z52" s="294" t="s">
        <v>882</v>
      </c>
      <c r="AA52" s="294" t="s">
        <v>233</v>
      </c>
      <c r="AB52" s="294" t="s">
        <v>789</v>
      </c>
      <c r="AC52" s="294">
        <v>0</v>
      </c>
      <c r="AD52" s="296">
        <v>5.1990740740740747E-2</v>
      </c>
      <c r="AE52" s="294">
        <v>12.021000000000001</v>
      </c>
      <c r="AF52" s="294">
        <v>53</v>
      </c>
    </row>
    <row r="53" spans="24:32">
      <c r="X53" s="294">
        <v>468</v>
      </c>
      <c r="Y53" s="294" t="s">
        <v>883</v>
      </c>
      <c r="Z53" s="294" t="s">
        <v>884</v>
      </c>
      <c r="AA53" s="294" t="s">
        <v>233</v>
      </c>
      <c r="AB53" s="294" t="s">
        <v>789</v>
      </c>
      <c r="AC53" s="294" t="s">
        <v>885</v>
      </c>
      <c r="AD53" s="296">
        <v>5.2002314814814814E-2</v>
      </c>
      <c r="AE53" s="294">
        <v>12.019</v>
      </c>
      <c r="AF53" s="294">
        <v>54</v>
      </c>
    </row>
    <row r="54" spans="24:32" ht="60">
      <c r="X54" s="294">
        <v>176</v>
      </c>
      <c r="Y54" s="294" t="s">
        <v>886</v>
      </c>
      <c r="Z54" s="294" t="s">
        <v>851</v>
      </c>
      <c r="AA54" s="294" t="s">
        <v>233</v>
      </c>
      <c r="AB54" s="294" t="s">
        <v>776</v>
      </c>
      <c r="AC54" s="294" t="s">
        <v>887</v>
      </c>
      <c r="AD54" s="296">
        <v>5.2025462962962961E-2</v>
      </c>
      <c r="AE54" s="294">
        <v>12.013</v>
      </c>
      <c r="AF54" s="294">
        <v>55</v>
      </c>
    </row>
    <row r="55" spans="24:32">
      <c r="X55" s="294">
        <v>488</v>
      </c>
      <c r="Y55" s="294" t="s">
        <v>888</v>
      </c>
      <c r="Z55" s="294" t="s">
        <v>889</v>
      </c>
      <c r="AA55" s="294" t="s">
        <v>233</v>
      </c>
      <c r="AB55" s="294" t="s">
        <v>776</v>
      </c>
      <c r="AC55" s="294">
        <v>0</v>
      </c>
      <c r="AD55" s="296">
        <v>5.2071759259259255E-2</v>
      </c>
      <c r="AE55" s="294">
        <v>12.003</v>
      </c>
      <c r="AF55" s="294">
        <v>56</v>
      </c>
    </row>
    <row r="56" spans="24:32">
      <c r="X56" s="294">
        <v>419</v>
      </c>
      <c r="Y56" s="294" t="s">
        <v>890</v>
      </c>
      <c r="Z56" s="294" t="s">
        <v>891</v>
      </c>
      <c r="AA56" s="294" t="s">
        <v>233</v>
      </c>
      <c r="AB56" s="294" t="s">
        <v>871</v>
      </c>
      <c r="AC56" s="294">
        <v>0</v>
      </c>
      <c r="AD56" s="296">
        <v>5.2094907407407409E-2</v>
      </c>
      <c r="AE56" s="294">
        <v>11.997</v>
      </c>
      <c r="AF56" s="294">
        <v>57</v>
      </c>
    </row>
    <row r="57" spans="24:32">
      <c r="X57" s="294">
        <v>296</v>
      </c>
      <c r="Y57" s="294" t="s">
        <v>892</v>
      </c>
      <c r="Z57" s="294" t="s">
        <v>893</v>
      </c>
      <c r="AA57" s="294" t="s">
        <v>233</v>
      </c>
      <c r="AB57" s="294" t="s">
        <v>789</v>
      </c>
      <c r="AC57" s="294" t="s">
        <v>877</v>
      </c>
      <c r="AD57" s="296">
        <v>5.2152777777777777E-2</v>
      </c>
      <c r="AE57" s="294">
        <v>11.984</v>
      </c>
      <c r="AF57" s="294">
        <v>58</v>
      </c>
    </row>
    <row r="58" spans="24:32">
      <c r="X58" s="294">
        <v>367</v>
      </c>
      <c r="Y58" s="294" t="s">
        <v>894</v>
      </c>
      <c r="Z58" s="294" t="s">
        <v>895</v>
      </c>
      <c r="AA58" s="294" t="s">
        <v>896</v>
      </c>
      <c r="AB58" s="294" t="s">
        <v>776</v>
      </c>
      <c r="AC58" s="294" t="s">
        <v>897</v>
      </c>
      <c r="AD58" s="296">
        <v>5.2175925925925924E-2</v>
      </c>
      <c r="AE58" s="294">
        <v>11.978999999999999</v>
      </c>
      <c r="AF58" s="294">
        <v>59</v>
      </c>
    </row>
    <row r="59" spans="24:32">
      <c r="X59" s="294">
        <v>321</v>
      </c>
      <c r="Y59" s="294" t="s">
        <v>898</v>
      </c>
      <c r="Z59" s="294" t="s">
        <v>899</v>
      </c>
      <c r="AA59" s="294" t="s">
        <v>233</v>
      </c>
      <c r="AB59" s="294" t="s">
        <v>776</v>
      </c>
      <c r="AC59" s="294">
        <v>0</v>
      </c>
      <c r="AD59" s="296">
        <v>5.2187499999999998E-2</v>
      </c>
      <c r="AE59" s="294">
        <v>11.976000000000001</v>
      </c>
      <c r="AF59" s="294">
        <v>60</v>
      </c>
    </row>
    <row r="60" spans="24:32" ht="30">
      <c r="X60" s="294">
        <v>336</v>
      </c>
      <c r="Y60" s="294" t="s">
        <v>900</v>
      </c>
      <c r="Z60" s="294" t="s">
        <v>901</v>
      </c>
      <c r="AA60" s="294" t="s">
        <v>233</v>
      </c>
      <c r="AB60" s="294" t="s">
        <v>871</v>
      </c>
      <c r="AC60" s="294" t="s">
        <v>902</v>
      </c>
      <c r="AD60" s="296">
        <v>5.2210648148148152E-2</v>
      </c>
      <c r="AE60" s="294">
        <v>11.971</v>
      </c>
      <c r="AF60" s="294">
        <v>61</v>
      </c>
    </row>
    <row r="61" spans="24:32">
      <c r="X61" s="294">
        <v>22</v>
      </c>
      <c r="Y61" s="294" t="s">
        <v>903</v>
      </c>
      <c r="Z61" s="294" t="s">
        <v>904</v>
      </c>
      <c r="AA61" s="294" t="s">
        <v>233</v>
      </c>
      <c r="AB61" s="294" t="s">
        <v>826</v>
      </c>
      <c r="AC61" s="294">
        <v>0</v>
      </c>
      <c r="AD61" s="296">
        <v>5.2222222222222225E-2</v>
      </c>
      <c r="AE61" s="294">
        <v>11.968</v>
      </c>
      <c r="AF61" s="294">
        <v>62</v>
      </c>
    </row>
    <row r="62" spans="24:32">
      <c r="X62" s="294">
        <v>221</v>
      </c>
      <c r="Y62" s="294" t="s">
        <v>905</v>
      </c>
      <c r="Z62" s="294" t="s">
        <v>899</v>
      </c>
      <c r="AA62" s="294" t="s">
        <v>233</v>
      </c>
      <c r="AB62" s="294" t="s">
        <v>776</v>
      </c>
      <c r="AC62" s="294" t="s">
        <v>877</v>
      </c>
      <c r="AD62" s="296">
        <v>5.2256944444444446E-2</v>
      </c>
      <c r="AE62" s="294">
        <v>11.96</v>
      </c>
      <c r="AF62" s="294">
        <v>63</v>
      </c>
    </row>
    <row r="63" spans="24:32">
      <c r="X63" s="294">
        <v>318</v>
      </c>
      <c r="Y63" s="294" t="s">
        <v>906</v>
      </c>
      <c r="Z63" s="294" t="s">
        <v>907</v>
      </c>
      <c r="AA63" s="294" t="s">
        <v>233</v>
      </c>
      <c r="AB63" s="294" t="s">
        <v>776</v>
      </c>
      <c r="AC63" s="294">
        <v>0</v>
      </c>
      <c r="AD63" s="296">
        <v>5.229166666666666E-2</v>
      </c>
      <c r="AE63" s="294">
        <v>11.952</v>
      </c>
      <c r="AF63" s="294">
        <v>64</v>
      </c>
    </row>
    <row r="64" spans="24:32" ht="45">
      <c r="X64" s="294">
        <v>194</v>
      </c>
      <c r="Y64" s="294" t="s">
        <v>863</v>
      </c>
      <c r="Z64" s="294" t="s">
        <v>908</v>
      </c>
      <c r="AA64" s="294" t="s">
        <v>233</v>
      </c>
      <c r="AB64" s="294" t="s">
        <v>838</v>
      </c>
      <c r="AC64" s="294" t="s">
        <v>909</v>
      </c>
      <c r="AD64" s="296">
        <v>5.2314814814814814E-2</v>
      </c>
      <c r="AE64" s="294">
        <v>11.946999999999999</v>
      </c>
      <c r="AF64" s="294">
        <v>65</v>
      </c>
    </row>
    <row r="65" spans="24:32">
      <c r="X65" s="294">
        <v>350</v>
      </c>
      <c r="Y65" s="294" t="s">
        <v>910</v>
      </c>
      <c r="Z65" s="294" t="s">
        <v>911</v>
      </c>
      <c r="AA65" s="294" t="s">
        <v>233</v>
      </c>
      <c r="AB65" s="294" t="s">
        <v>838</v>
      </c>
      <c r="AC65" s="294" t="s">
        <v>912</v>
      </c>
      <c r="AD65" s="296">
        <v>5.2349537037037042E-2</v>
      </c>
      <c r="AE65" s="294">
        <v>11.939</v>
      </c>
      <c r="AF65" s="294">
        <v>66</v>
      </c>
    </row>
    <row r="66" spans="24:32">
      <c r="X66" s="294">
        <v>220</v>
      </c>
      <c r="Y66" s="294" t="s">
        <v>913</v>
      </c>
      <c r="Z66" s="294" t="s">
        <v>914</v>
      </c>
      <c r="AA66" s="294" t="s">
        <v>233</v>
      </c>
      <c r="AB66" s="294" t="s">
        <v>776</v>
      </c>
      <c r="AC66" s="294" t="s">
        <v>877</v>
      </c>
      <c r="AD66" s="296">
        <v>5.2395833333333336E-2</v>
      </c>
      <c r="AE66" s="294">
        <v>11.928000000000001</v>
      </c>
      <c r="AF66" s="294">
        <v>67</v>
      </c>
    </row>
    <row r="67" spans="24:32" ht="45">
      <c r="X67" s="294">
        <v>431</v>
      </c>
      <c r="Y67" s="294" t="s">
        <v>915</v>
      </c>
      <c r="Z67" s="294" t="s">
        <v>916</v>
      </c>
      <c r="AA67" s="294" t="s">
        <v>233</v>
      </c>
      <c r="AB67" s="294" t="s">
        <v>871</v>
      </c>
      <c r="AC67" s="294" t="s">
        <v>917</v>
      </c>
      <c r="AD67" s="296">
        <v>5.2453703703703704E-2</v>
      </c>
      <c r="AE67" s="294">
        <v>11.914999999999999</v>
      </c>
      <c r="AF67" s="294">
        <v>68</v>
      </c>
    </row>
    <row r="68" spans="24:32">
      <c r="X68" s="294">
        <v>151</v>
      </c>
      <c r="Y68" s="294" t="s">
        <v>918</v>
      </c>
      <c r="Z68" s="294" t="s">
        <v>919</v>
      </c>
      <c r="AA68" s="294" t="s">
        <v>233</v>
      </c>
      <c r="AB68" s="294" t="s">
        <v>776</v>
      </c>
      <c r="AC68" s="294">
        <v>0</v>
      </c>
      <c r="AD68" s="296">
        <v>5.2465277777777784E-2</v>
      </c>
      <c r="AE68" s="294">
        <v>11.913</v>
      </c>
      <c r="AF68" s="294">
        <v>69</v>
      </c>
    </row>
    <row r="69" spans="24:32">
      <c r="X69" s="294">
        <v>17</v>
      </c>
      <c r="Y69" s="294" t="s">
        <v>920</v>
      </c>
      <c r="Z69" s="294" t="s">
        <v>781</v>
      </c>
      <c r="AA69" s="294" t="s">
        <v>233</v>
      </c>
      <c r="AB69" s="294" t="s">
        <v>776</v>
      </c>
      <c r="AC69" s="294" t="s">
        <v>877</v>
      </c>
      <c r="AD69" s="296">
        <v>5.2476851851851851E-2</v>
      </c>
      <c r="AE69" s="294">
        <v>11.91</v>
      </c>
      <c r="AF69" s="294">
        <v>70</v>
      </c>
    </row>
    <row r="70" spans="24:32" ht="30">
      <c r="X70" s="294">
        <v>173</v>
      </c>
      <c r="Y70" s="294" t="s">
        <v>921</v>
      </c>
      <c r="Z70" s="294" t="s">
        <v>833</v>
      </c>
      <c r="AA70" s="294" t="s">
        <v>233</v>
      </c>
      <c r="AB70" s="294" t="s">
        <v>776</v>
      </c>
      <c r="AC70" s="294" t="s">
        <v>922</v>
      </c>
      <c r="AD70" s="296">
        <v>5.2499999999999998E-2</v>
      </c>
      <c r="AE70" s="294">
        <v>11.904999999999999</v>
      </c>
      <c r="AF70" s="294">
        <v>71</v>
      </c>
    </row>
    <row r="71" spans="24:32" ht="30">
      <c r="X71" s="294">
        <v>491</v>
      </c>
      <c r="Y71" s="294" t="s">
        <v>923</v>
      </c>
      <c r="Z71" s="294" t="s">
        <v>814</v>
      </c>
      <c r="AA71" s="294" t="s">
        <v>233</v>
      </c>
      <c r="AB71" s="294" t="s">
        <v>789</v>
      </c>
      <c r="AC71" s="294" t="s">
        <v>924</v>
      </c>
      <c r="AD71" s="296">
        <v>5.2534722222222219E-2</v>
      </c>
      <c r="AE71" s="294">
        <v>11.897</v>
      </c>
      <c r="AF71" s="294">
        <v>72</v>
      </c>
    </row>
    <row r="72" spans="24:32">
      <c r="X72" s="294">
        <v>227</v>
      </c>
      <c r="Y72" s="294" t="s">
        <v>925</v>
      </c>
      <c r="Z72" s="294" t="s">
        <v>919</v>
      </c>
      <c r="AA72" s="294" t="s">
        <v>233</v>
      </c>
      <c r="AB72" s="294" t="s">
        <v>776</v>
      </c>
      <c r="AC72" s="294" t="s">
        <v>877</v>
      </c>
      <c r="AD72" s="296">
        <v>5.2546296296296292E-2</v>
      </c>
      <c r="AE72" s="294">
        <v>11.894</v>
      </c>
      <c r="AF72" s="294">
        <v>73</v>
      </c>
    </row>
    <row r="73" spans="24:32" ht="30">
      <c r="X73" s="294">
        <v>440</v>
      </c>
      <c r="Y73" s="294" t="s">
        <v>926</v>
      </c>
      <c r="Z73" s="294" t="s">
        <v>873</v>
      </c>
      <c r="AA73" s="294" t="s">
        <v>233</v>
      </c>
      <c r="AB73" s="294" t="s">
        <v>776</v>
      </c>
      <c r="AC73" s="294" t="s">
        <v>927</v>
      </c>
      <c r="AD73" s="296">
        <v>5.2569444444444446E-2</v>
      </c>
      <c r="AE73" s="294">
        <v>11.888999999999999</v>
      </c>
      <c r="AF73" s="294">
        <v>74</v>
      </c>
    </row>
    <row r="74" spans="24:32">
      <c r="X74" s="294">
        <v>435</v>
      </c>
      <c r="Y74" s="294" t="s">
        <v>928</v>
      </c>
      <c r="Z74" s="294" t="s">
        <v>884</v>
      </c>
      <c r="AA74" s="294" t="s">
        <v>233</v>
      </c>
      <c r="AB74" s="294" t="s">
        <v>789</v>
      </c>
      <c r="AC74" s="294">
        <v>0</v>
      </c>
      <c r="AD74" s="296">
        <v>5.2662037037037035E-2</v>
      </c>
      <c r="AE74" s="294">
        <v>11.868</v>
      </c>
      <c r="AF74" s="294">
        <v>75</v>
      </c>
    </row>
    <row r="75" spans="24:32">
      <c r="X75" s="294">
        <v>95</v>
      </c>
      <c r="Y75" s="294" t="s">
        <v>929</v>
      </c>
      <c r="Z75" s="294" t="s">
        <v>231</v>
      </c>
      <c r="AA75" s="294" t="s">
        <v>233</v>
      </c>
      <c r="AB75" s="294" t="s">
        <v>789</v>
      </c>
      <c r="AC75" s="294">
        <v>0</v>
      </c>
      <c r="AD75" s="296">
        <v>5.275462962962963E-2</v>
      </c>
      <c r="AE75" s="294">
        <v>11.847</v>
      </c>
      <c r="AF75" s="294">
        <v>76</v>
      </c>
    </row>
    <row r="76" spans="24:32">
      <c r="X76" s="294">
        <v>224</v>
      </c>
      <c r="Y76" s="294" t="s">
        <v>930</v>
      </c>
      <c r="Z76" s="294" t="s">
        <v>793</v>
      </c>
      <c r="AA76" s="294" t="s">
        <v>233</v>
      </c>
      <c r="AB76" s="294" t="s">
        <v>789</v>
      </c>
      <c r="AC76" s="294">
        <v>0</v>
      </c>
      <c r="AD76" s="296">
        <v>5.2835648148148145E-2</v>
      </c>
      <c r="AE76" s="294">
        <v>11.829000000000001</v>
      </c>
      <c r="AF76" s="294">
        <v>77</v>
      </c>
    </row>
    <row r="77" spans="24:32">
      <c r="X77" s="294">
        <v>217</v>
      </c>
      <c r="Y77" s="294" t="s">
        <v>931</v>
      </c>
      <c r="Z77" s="294" t="s">
        <v>932</v>
      </c>
      <c r="AA77" s="294" t="s">
        <v>233</v>
      </c>
      <c r="AB77" s="294" t="s">
        <v>789</v>
      </c>
      <c r="AC77" s="294" t="s">
        <v>877</v>
      </c>
      <c r="AD77" s="296">
        <v>5.2870370370370373E-2</v>
      </c>
      <c r="AE77" s="294">
        <v>11.821</v>
      </c>
      <c r="AF77" s="294">
        <v>78</v>
      </c>
    </row>
    <row r="78" spans="24:32">
      <c r="X78" s="294">
        <v>382</v>
      </c>
      <c r="Y78" s="294" t="s">
        <v>933</v>
      </c>
      <c r="Z78" s="294" t="s">
        <v>934</v>
      </c>
      <c r="AA78" s="294" t="s">
        <v>233</v>
      </c>
      <c r="AB78" s="294" t="s">
        <v>789</v>
      </c>
      <c r="AC78" s="294" t="s">
        <v>877</v>
      </c>
      <c r="AD78" s="296">
        <v>5.2951388888888888E-2</v>
      </c>
      <c r="AE78" s="294">
        <v>11.803000000000001</v>
      </c>
      <c r="AF78" s="294">
        <v>79</v>
      </c>
    </row>
    <row r="79" spans="24:32" ht="30">
      <c r="X79" s="294">
        <v>157</v>
      </c>
      <c r="Y79" s="294" t="s">
        <v>935</v>
      </c>
      <c r="Z79" s="294" t="s">
        <v>936</v>
      </c>
      <c r="AA79" s="294" t="s">
        <v>233</v>
      </c>
      <c r="AB79" s="294" t="s">
        <v>789</v>
      </c>
      <c r="AC79" s="294" t="s">
        <v>937</v>
      </c>
      <c r="AD79" s="296">
        <v>5.3055555555555557E-2</v>
      </c>
      <c r="AE79" s="294">
        <v>11.78</v>
      </c>
      <c r="AF79" s="294">
        <v>80</v>
      </c>
    </row>
    <row r="80" spans="24:32">
      <c r="X80" s="294">
        <v>444</v>
      </c>
      <c r="Y80" s="294" t="s">
        <v>938</v>
      </c>
      <c r="Z80" s="294" t="s">
        <v>939</v>
      </c>
      <c r="AA80" s="294" t="s">
        <v>233</v>
      </c>
      <c r="AB80" s="294" t="s">
        <v>826</v>
      </c>
      <c r="AC80" s="294">
        <v>0</v>
      </c>
      <c r="AD80" s="296">
        <v>5.3101851851851851E-2</v>
      </c>
      <c r="AE80" s="294">
        <v>11.77</v>
      </c>
      <c r="AF80" s="294">
        <v>81</v>
      </c>
    </row>
    <row r="81" spans="24:32">
      <c r="X81" s="294">
        <v>120</v>
      </c>
      <c r="Y81" s="294" t="s">
        <v>940</v>
      </c>
      <c r="Z81" s="294" t="s">
        <v>231</v>
      </c>
      <c r="AA81" s="294" t="s">
        <v>233</v>
      </c>
      <c r="AB81" s="294" t="s">
        <v>776</v>
      </c>
      <c r="AC81" s="294">
        <v>0</v>
      </c>
      <c r="AD81" s="296">
        <v>5.3159722222222226E-2</v>
      </c>
      <c r="AE81" s="294">
        <v>11.757</v>
      </c>
      <c r="AF81" s="294">
        <v>82</v>
      </c>
    </row>
    <row r="82" spans="24:32">
      <c r="X82" s="294">
        <v>72</v>
      </c>
      <c r="Y82" s="294" t="s">
        <v>941</v>
      </c>
      <c r="Z82" s="294" t="s">
        <v>942</v>
      </c>
      <c r="AA82" s="294" t="s">
        <v>233</v>
      </c>
      <c r="AB82" s="294" t="s">
        <v>789</v>
      </c>
      <c r="AC82" s="294" t="s">
        <v>943</v>
      </c>
      <c r="AD82" s="296">
        <v>5.3206018518518521E-2</v>
      </c>
      <c r="AE82" s="294">
        <v>11.747</v>
      </c>
      <c r="AF82" s="294">
        <v>83</v>
      </c>
    </row>
    <row r="83" spans="24:32" ht="30">
      <c r="X83" s="294">
        <v>94</v>
      </c>
      <c r="Y83" s="294" t="s">
        <v>944</v>
      </c>
      <c r="Z83" s="294" t="s">
        <v>945</v>
      </c>
      <c r="AA83" s="294" t="s">
        <v>233</v>
      </c>
      <c r="AB83" s="294" t="s">
        <v>789</v>
      </c>
      <c r="AC83" s="294" t="s">
        <v>946</v>
      </c>
      <c r="AD83" s="296">
        <v>5.3229166666666661E-2</v>
      </c>
      <c r="AE83" s="294">
        <v>11.742000000000001</v>
      </c>
      <c r="AF83" s="294">
        <v>84</v>
      </c>
    </row>
    <row r="84" spans="24:32">
      <c r="X84" s="294">
        <v>307</v>
      </c>
      <c r="Y84" s="294" t="s">
        <v>947</v>
      </c>
      <c r="Z84" s="294" t="s">
        <v>919</v>
      </c>
      <c r="AA84" s="294" t="s">
        <v>233</v>
      </c>
      <c r="AB84" s="294" t="s">
        <v>776</v>
      </c>
      <c r="AC84" s="294">
        <v>0</v>
      </c>
      <c r="AD84" s="296">
        <v>5.3263888888888888E-2</v>
      </c>
      <c r="AE84" s="294">
        <v>11.734</v>
      </c>
      <c r="AF84" s="294">
        <v>85</v>
      </c>
    </row>
    <row r="85" spans="24:32">
      <c r="X85" s="294">
        <v>41</v>
      </c>
      <c r="Y85" s="294" t="s">
        <v>948</v>
      </c>
      <c r="Z85" s="294" t="s">
        <v>949</v>
      </c>
      <c r="AA85" s="294" t="s">
        <v>233</v>
      </c>
      <c r="AB85" s="294" t="s">
        <v>838</v>
      </c>
      <c r="AC85" s="294" t="s">
        <v>950</v>
      </c>
      <c r="AD85" s="296">
        <v>5.3298611111111116E-2</v>
      </c>
      <c r="AE85" s="294">
        <v>11.726000000000001</v>
      </c>
      <c r="AF85" s="294">
        <v>86</v>
      </c>
    </row>
    <row r="86" spans="24:32" ht="45">
      <c r="X86" s="294">
        <v>154</v>
      </c>
      <c r="Y86" s="294" t="s">
        <v>951</v>
      </c>
      <c r="Z86" s="294" t="s">
        <v>833</v>
      </c>
      <c r="AA86" s="294" t="s">
        <v>233</v>
      </c>
      <c r="AB86" s="294" t="s">
        <v>776</v>
      </c>
      <c r="AC86" s="294" t="s">
        <v>858</v>
      </c>
      <c r="AD86" s="296">
        <v>5.3321759259259256E-2</v>
      </c>
      <c r="AE86" s="294">
        <v>11.721</v>
      </c>
      <c r="AF86" s="294">
        <v>87</v>
      </c>
    </row>
    <row r="87" spans="24:32">
      <c r="X87" s="294">
        <v>434</v>
      </c>
      <c r="Y87" s="294" t="s">
        <v>952</v>
      </c>
      <c r="Z87" s="294" t="s">
        <v>800</v>
      </c>
      <c r="AA87" s="294" t="s">
        <v>233</v>
      </c>
      <c r="AB87" s="294" t="s">
        <v>871</v>
      </c>
      <c r="AC87" s="294">
        <v>0</v>
      </c>
      <c r="AD87" s="296">
        <v>5.3402777777777778E-2</v>
      </c>
      <c r="AE87" s="294">
        <v>11.704000000000001</v>
      </c>
      <c r="AF87" s="294">
        <v>88</v>
      </c>
    </row>
    <row r="88" spans="24:32" ht="30">
      <c r="X88" s="294">
        <v>244</v>
      </c>
      <c r="Y88" s="294" t="s">
        <v>953</v>
      </c>
      <c r="Z88" s="294" t="s">
        <v>954</v>
      </c>
      <c r="AA88" s="294" t="s">
        <v>233</v>
      </c>
      <c r="AB88" s="294" t="s">
        <v>838</v>
      </c>
      <c r="AC88" s="294" t="s">
        <v>955</v>
      </c>
      <c r="AD88" s="296">
        <v>5.3449074074074072E-2</v>
      </c>
      <c r="AE88" s="294">
        <v>11.693</v>
      </c>
      <c r="AF88" s="294">
        <v>89</v>
      </c>
    </row>
    <row r="89" spans="24:32" ht="30">
      <c r="X89" s="294">
        <v>302</v>
      </c>
      <c r="Y89" s="294" t="s">
        <v>956</v>
      </c>
      <c r="Z89" s="294" t="s">
        <v>957</v>
      </c>
      <c r="AA89" s="294" t="s">
        <v>896</v>
      </c>
      <c r="AB89" s="294" t="s">
        <v>776</v>
      </c>
      <c r="AC89" s="294" t="s">
        <v>797</v>
      </c>
      <c r="AD89" s="296">
        <v>5.3483796296296293E-2</v>
      </c>
      <c r="AE89" s="294">
        <v>11.686</v>
      </c>
      <c r="AF89" s="294">
        <v>90</v>
      </c>
    </row>
    <row r="90" spans="24:32">
      <c r="X90" s="294">
        <v>412</v>
      </c>
      <c r="Y90" s="294" t="s">
        <v>958</v>
      </c>
      <c r="Z90" s="294" t="s">
        <v>851</v>
      </c>
      <c r="AA90" s="294" t="s">
        <v>233</v>
      </c>
      <c r="AB90" s="294" t="s">
        <v>776</v>
      </c>
      <c r="AC90" s="294">
        <v>0</v>
      </c>
      <c r="AD90" s="296">
        <v>5.3518518518518521E-2</v>
      </c>
      <c r="AE90" s="294">
        <v>11.678000000000001</v>
      </c>
      <c r="AF90" s="294">
        <v>91</v>
      </c>
    </row>
    <row r="91" spans="24:32" ht="30">
      <c r="X91" s="294">
        <v>366</v>
      </c>
      <c r="Y91" s="294" t="s">
        <v>959</v>
      </c>
      <c r="Z91" s="294" t="s">
        <v>960</v>
      </c>
      <c r="AA91" s="294" t="s">
        <v>233</v>
      </c>
      <c r="AB91" s="294" t="s">
        <v>838</v>
      </c>
      <c r="AC91" s="294" t="s">
        <v>790</v>
      </c>
      <c r="AD91" s="296">
        <v>5.376157407407408E-2</v>
      </c>
      <c r="AE91" s="294">
        <v>11.625</v>
      </c>
      <c r="AF91" s="294">
        <v>92</v>
      </c>
    </row>
    <row r="92" spans="24:32" ht="30">
      <c r="X92" s="294">
        <v>372</v>
      </c>
      <c r="Y92" s="294" t="s">
        <v>961</v>
      </c>
      <c r="Z92" s="294" t="s">
        <v>962</v>
      </c>
      <c r="AA92" s="294" t="s">
        <v>233</v>
      </c>
      <c r="AB92" s="294" t="s">
        <v>789</v>
      </c>
      <c r="AC92" s="294">
        <v>0</v>
      </c>
      <c r="AD92" s="296">
        <v>5.3796296296296293E-2</v>
      </c>
      <c r="AE92" s="294">
        <v>11.618</v>
      </c>
      <c r="AF92" s="294">
        <v>93</v>
      </c>
    </row>
    <row r="93" spans="24:32">
      <c r="X93" s="294">
        <v>124</v>
      </c>
      <c r="Y93" s="294" t="s">
        <v>963</v>
      </c>
      <c r="Z93" s="294" t="s">
        <v>964</v>
      </c>
      <c r="AA93" s="294" t="s">
        <v>233</v>
      </c>
      <c r="AB93" s="294" t="s">
        <v>789</v>
      </c>
      <c r="AC93" s="294" t="s">
        <v>877</v>
      </c>
      <c r="AD93" s="296">
        <v>5.3865740740740742E-2</v>
      </c>
      <c r="AE93" s="294">
        <v>11.603</v>
      </c>
      <c r="AF93" s="294">
        <v>94</v>
      </c>
    </row>
    <row r="94" spans="24:32">
      <c r="X94" s="294">
        <v>254</v>
      </c>
      <c r="Y94" s="294" t="s">
        <v>965</v>
      </c>
      <c r="Z94" s="294" t="s">
        <v>800</v>
      </c>
      <c r="AA94" s="294" t="s">
        <v>233</v>
      </c>
      <c r="AB94" s="294" t="s">
        <v>776</v>
      </c>
      <c r="AC94" s="294">
        <v>0</v>
      </c>
      <c r="AD94" s="296">
        <v>5.3946759259259257E-2</v>
      </c>
      <c r="AE94" s="294">
        <v>11.585000000000001</v>
      </c>
      <c r="AF94" s="294">
        <v>95</v>
      </c>
    </row>
    <row r="95" spans="24:32" ht="30">
      <c r="X95" s="294">
        <v>40</v>
      </c>
      <c r="Y95" s="294" t="s">
        <v>847</v>
      </c>
      <c r="Z95" s="294" t="s">
        <v>966</v>
      </c>
      <c r="AA95" s="294" t="s">
        <v>896</v>
      </c>
      <c r="AB95" s="294" t="s">
        <v>789</v>
      </c>
      <c r="AC95" s="294" t="s">
        <v>950</v>
      </c>
      <c r="AD95" s="296">
        <v>5.3969907407407404E-2</v>
      </c>
      <c r="AE95" s="294">
        <v>11.581</v>
      </c>
      <c r="AF95" s="294">
        <v>96</v>
      </c>
    </row>
    <row r="96" spans="24:32" ht="30">
      <c r="X96" s="294">
        <v>492</v>
      </c>
      <c r="Y96" s="294" t="s">
        <v>967</v>
      </c>
      <c r="Z96" s="294" t="s">
        <v>809</v>
      </c>
      <c r="AA96" s="294" t="s">
        <v>233</v>
      </c>
      <c r="AB96" s="294" t="s">
        <v>789</v>
      </c>
      <c r="AC96" s="294" t="s">
        <v>924</v>
      </c>
      <c r="AD96" s="296">
        <v>5.4004629629629632E-2</v>
      </c>
      <c r="AE96" s="294">
        <v>11.573</v>
      </c>
      <c r="AF96" s="294">
        <v>97</v>
      </c>
    </row>
    <row r="97" spans="24:32" ht="45">
      <c r="X97" s="294">
        <v>341</v>
      </c>
      <c r="Y97" s="294" t="s">
        <v>968</v>
      </c>
      <c r="Z97" s="294" t="s">
        <v>916</v>
      </c>
      <c r="AA97" s="294" t="s">
        <v>233</v>
      </c>
      <c r="AB97" s="294" t="s">
        <v>826</v>
      </c>
      <c r="AC97" s="294" t="s">
        <v>969</v>
      </c>
      <c r="AD97" s="296">
        <v>5.4039351851851852E-2</v>
      </c>
      <c r="AE97" s="294">
        <v>11.566000000000001</v>
      </c>
      <c r="AF97" s="294">
        <v>98</v>
      </c>
    </row>
    <row r="98" spans="24:32" ht="45">
      <c r="X98" s="294">
        <v>499</v>
      </c>
      <c r="Y98" s="294" t="s">
        <v>970</v>
      </c>
      <c r="Z98" s="294" t="s">
        <v>919</v>
      </c>
      <c r="AA98" s="294" t="s">
        <v>233</v>
      </c>
      <c r="AB98" s="294" t="s">
        <v>871</v>
      </c>
      <c r="AC98" s="294" t="s">
        <v>917</v>
      </c>
      <c r="AD98" s="296">
        <v>5.4189814814814809E-2</v>
      </c>
      <c r="AE98" s="294">
        <v>11.534000000000001</v>
      </c>
      <c r="AF98" s="294">
        <v>99</v>
      </c>
    </row>
    <row r="99" spans="24:32">
      <c r="X99" s="294">
        <v>205</v>
      </c>
      <c r="Y99" s="294" t="s">
        <v>971</v>
      </c>
      <c r="Z99" s="294" t="s">
        <v>972</v>
      </c>
      <c r="AA99" s="294" t="s">
        <v>233</v>
      </c>
      <c r="AB99" s="294" t="s">
        <v>789</v>
      </c>
      <c r="AC99" s="294" t="s">
        <v>877</v>
      </c>
      <c r="AD99" s="296">
        <v>5.4212962962962963E-2</v>
      </c>
      <c r="AE99" s="294">
        <v>11.529</v>
      </c>
      <c r="AF99" s="294">
        <v>100</v>
      </c>
    </row>
    <row r="100" spans="24:32" ht="30">
      <c r="X100" s="294">
        <v>34</v>
      </c>
      <c r="Y100" s="294" t="s">
        <v>973</v>
      </c>
      <c r="Z100" s="294" t="s">
        <v>863</v>
      </c>
      <c r="AA100" s="294" t="s">
        <v>233</v>
      </c>
      <c r="AB100" s="294" t="s">
        <v>838</v>
      </c>
      <c r="AC100" s="294" t="s">
        <v>974</v>
      </c>
      <c r="AD100" s="296">
        <v>5.4224537037037036E-2</v>
      </c>
      <c r="AE100" s="294">
        <v>11.526</v>
      </c>
      <c r="AF100" s="294">
        <v>101</v>
      </c>
    </row>
    <row r="101" spans="24:32" ht="30">
      <c r="X101" s="294">
        <v>57</v>
      </c>
      <c r="Y101" s="294" t="s">
        <v>975</v>
      </c>
      <c r="Z101" s="294" t="s">
        <v>976</v>
      </c>
      <c r="AA101" s="294" t="s">
        <v>233</v>
      </c>
      <c r="AB101" s="294" t="s">
        <v>789</v>
      </c>
      <c r="AC101" s="294">
        <v>0</v>
      </c>
      <c r="AD101" s="296">
        <v>5.4305555555555551E-2</v>
      </c>
      <c r="AE101" s="294">
        <v>11.509</v>
      </c>
      <c r="AF101" s="294">
        <v>102</v>
      </c>
    </row>
    <row r="102" spans="24:32">
      <c r="X102" s="294">
        <v>456</v>
      </c>
      <c r="Y102" s="294" t="s">
        <v>977</v>
      </c>
      <c r="Z102" s="294" t="s">
        <v>781</v>
      </c>
      <c r="AA102" s="294" t="s">
        <v>233</v>
      </c>
      <c r="AB102" s="294" t="s">
        <v>776</v>
      </c>
      <c r="AC102" s="294">
        <v>0</v>
      </c>
      <c r="AD102" s="296">
        <v>5.4351851851851853E-2</v>
      </c>
      <c r="AE102" s="294">
        <v>11.499000000000001</v>
      </c>
      <c r="AF102" s="294">
        <v>103</v>
      </c>
    </row>
    <row r="103" spans="24:32">
      <c r="X103" s="294">
        <v>293</v>
      </c>
      <c r="Y103" s="294" t="s">
        <v>978</v>
      </c>
      <c r="Z103" s="294" t="s">
        <v>979</v>
      </c>
      <c r="AA103" s="294" t="s">
        <v>233</v>
      </c>
      <c r="AB103" s="294" t="s">
        <v>776</v>
      </c>
      <c r="AC103" s="294">
        <v>0</v>
      </c>
      <c r="AD103" s="296">
        <v>5.4386574074074073E-2</v>
      </c>
      <c r="AE103" s="294">
        <v>11.492000000000001</v>
      </c>
      <c r="AF103" s="294">
        <v>104</v>
      </c>
    </row>
    <row r="104" spans="24:32">
      <c r="X104" s="294">
        <v>177</v>
      </c>
      <c r="Y104" s="294" t="s">
        <v>980</v>
      </c>
      <c r="Z104" s="294" t="s">
        <v>981</v>
      </c>
      <c r="AA104" s="294" t="s">
        <v>233</v>
      </c>
      <c r="AB104" s="294" t="s">
        <v>880</v>
      </c>
      <c r="AC104" s="294" t="s">
        <v>827</v>
      </c>
      <c r="AD104" s="296">
        <v>5.4444444444444441E-2</v>
      </c>
      <c r="AE104" s="294">
        <v>11.48</v>
      </c>
      <c r="AF104" s="294">
        <v>105</v>
      </c>
    </row>
    <row r="105" spans="24:32" ht="45">
      <c r="X105" s="294">
        <v>266</v>
      </c>
      <c r="Y105" s="294" t="s">
        <v>982</v>
      </c>
      <c r="Z105" s="294" t="s">
        <v>901</v>
      </c>
      <c r="AA105" s="294" t="s">
        <v>233</v>
      </c>
      <c r="AB105" s="294" t="s">
        <v>871</v>
      </c>
      <c r="AC105" s="294" t="s">
        <v>969</v>
      </c>
      <c r="AD105" s="296">
        <v>5.4537037037037044E-2</v>
      </c>
      <c r="AE105" s="294">
        <v>11.46</v>
      </c>
      <c r="AF105" s="294">
        <v>106</v>
      </c>
    </row>
    <row r="106" spans="24:32" ht="45">
      <c r="X106" s="294">
        <v>292</v>
      </c>
      <c r="Y106" s="294" t="s">
        <v>983</v>
      </c>
      <c r="Z106" s="294" t="s">
        <v>984</v>
      </c>
      <c r="AA106" s="294" t="s">
        <v>233</v>
      </c>
      <c r="AB106" s="294" t="s">
        <v>789</v>
      </c>
      <c r="AC106" s="294" t="s">
        <v>985</v>
      </c>
      <c r="AD106" s="296">
        <v>5.4722222222222228E-2</v>
      </c>
      <c r="AE106" s="294">
        <v>11.420999999999999</v>
      </c>
      <c r="AF106" s="294">
        <v>107</v>
      </c>
    </row>
    <row r="107" spans="24:32">
      <c r="X107" s="294">
        <v>447</v>
      </c>
      <c r="Y107" s="294" t="s">
        <v>986</v>
      </c>
      <c r="Z107" s="294" t="s">
        <v>863</v>
      </c>
      <c r="AA107" s="294" t="s">
        <v>233</v>
      </c>
      <c r="AB107" s="294" t="s">
        <v>776</v>
      </c>
      <c r="AC107" s="294" t="s">
        <v>877</v>
      </c>
      <c r="AD107" s="296">
        <v>5.4780092592592589E-2</v>
      </c>
      <c r="AE107" s="294">
        <v>11.409000000000001</v>
      </c>
      <c r="AF107" s="294">
        <v>108</v>
      </c>
    </row>
    <row r="108" spans="24:32">
      <c r="X108" s="294">
        <v>502</v>
      </c>
      <c r="Y108" s="294" t="s">
        <v>987</v>
      </c>
      <c r="Z108" s="294" t="s">
        <v>988</v>
      </c>
      <c r="AA108" s="294" t="s">
        <v>233</v>
      </c>
      <c r="AB108" s="294" t="s">
        <v>776</v>
      </c>
      <c r="AC108" s="294" t="s">
        <v>946</v>
      </c>
      <c r="AD108" s="296">
        <v>5.4814814814814816E-2</v>
      </c>
      <c r="AE108" s="294">
        <v>11.401999999999999</v>
      </c>
      <c r="AF108" s="294">
        <v>109</v>
      </c>
    </row>
    <row r="109" spans="24:32" ht="45">
      <c r="X109" s="294">
        <v>24</v>
      </c>
      <c r="Y109" s="294" t="s">
        <v>989</v>
      </c>
      <c r="Z109" s="294" t="s">
        <v>990</v>
      </c>
      <c r="AA109" s="294" t="s">
        <v>233</v>
      </c>
      <c r="AB109" s="294" t="s">
        <v>789</v>
      </c>
      <c r="AC109" s="294" t="s">
        <v>991</v>
      </c>
      <c r="AD109" s="296">
        <v>5.4849537037037037E-2</v>
      </c>
      <c r="AE109" s="294">
        <v>11.395</v>
      </c>
      <c r="AF109" s="294">
        <v>110</v>
      </c>
    </row>
    <row r="110" spans="24:32" ht="30">
      <c r="X110" s="294">
        <v>97</v>
      </c>
      <c r="Y110" s="294" t="s">
        <v>992</v>
      </c>
      <c r="Z110" s="294" t="s">
        <v>976</v>
      </c>
      <c r="AA110" s="294" t="s">
        <v>233</v>
      </c>
      <c r="AB110" s="294" t="s">
        <v>789</v>
      </c>
      <c r="AC110" s="294">
        <v>0</v>
      </c>
      <c r="AD110" s="296">
        <v>5.4872685185185184E-2</v>
      </c>
      <c r="AE110" s="294">
        <v>11.39</v>
      </c>
      <c r="AF110" s="294">
        <v>111</v>
      </c>
    </row>
    <row r="111" spans="24:32">
      <c r="X111" s="294">
        <v>359</v>
      </c>
      <c r="Y111" s="294" t="s">
        <v>993</v>
      </c>
      <c r="Z111" s="294" t="s">
        <v>994</v>
      </c>
      <c r="AA111" s="294" t="s">
        <v>233</v>
      </c>
      <c r="AB111" s="294" t="s">
        <v>789</v>
      </c>
      <c r="AC111" s="294" t="s">
        <v>877</v>
      </c>
      <c r="AD111" s="296">
        <v>5.5150462962962964E-2</v>
      </c>
      <c r="AE111" s="294">
        <v>11.333</v>
      </c>
      <c r="AF111" s="294">
        <v>112</v>
      </c>
    </row>
    <row r="112" spans="24:32" ht="30">
      <c r="X112" s="294">
        <v>121</v>
      </c>
      <c r="Y112" s="294" t="s">
        <v>995</v>
      </c>
      <c r="Z112" s="294" t="s">
        <v>996</v>
      </c>
      <c r="AA112" s="294" t="s">
        <v>233</v>
      </c>
      <c r="AB112" s="294" t="s">
        <v>776</v>
      </c>
      <c r="AC112" s="294">
        <v>0</v>
      </c>
      <c r="AD112" s="296">
        <v>5.5162037037037037E-2</v>
      </c>
      <c r="AE112" s="294">
        <v>11.33</v>
      </c>
      <c r="AF112" s="294">
        <v>113</v>
      </c>
    </row>
    <row r="113" spans="24:32">
      <c r="X113" s="294">
        <v>501</v>
      </c>
      <c r="Y113" s="294" t="s">
        <v>997</v>
      </c>
      <c r="Z113" s="294" t="s">
        <v>870</v>
      </c>
      <c r="AA113" s="294" t="s">
        <v>233</v>
      </c>
      <c r="AB113" s="294" t="s">
        <v>880</v>
      </c>
      <c r="AC113" s="294">
        <v>0</v>
      </c>
      <c r="AD113" s="296">
        <v>5.5266203703703699E-2</v>
      </c>
      <c r="AE113" s="294">
        <v>11.308999999999999</v>
      </c>
      <c r="AF113" s="294">
        <v>114</v>
      </c>
    </row>
    <row r="114" spans="24:32">
      <c r="X114" s="294">
        <v>389</v>
      </c>
      <c r="Y114" s="294" t="s">
        <v>998</v>
      </c>
      <c r="Z114" s="294" t="s">
        <v>919</v>
      </c>
      <c r="AA114" s="294" t="s">
        <v>233</v>
      </c>
      <c r="AB114" s="294" t="s">
        <v>880</v>
      </c>
      <c r="AC114" s="294">
        <v>0</v>
      </c>
      <c r="AD114" s="296">
        <v>5.5312499999999994E-2</v>
      </c>
      <c r="AE114" s="294">
        <v>11.298999999999999</v>
      </c>
      <c r="AF114" s="294">
        <v>115</v>
      </c>
    </row>
    <row r="115" spans="24:32">
      <c r="X115" s="294">
        <v>269</v>
      </c>
      <c r="Y115" s="294" t="s">
        <v>999</v>
      </c>
      <c r="Z115" s="294" t="s">
        <v>882</v>
      </c>
      <c r="AA115" s="294" t="s">
        <v>233</v>
      </c>
      <c r="AB115" s="294" t="s">
        <v>789</v>
      </c>
      <c r="AC115" s="294">
        <v>0</v>
      </c>
      <c r="AD115" s="296">
        <v>5.5347222222222221E-2</v>
      </c>
      <c r="AE115" s="294">
        <v>11.292</v>
      </c>
      <c r="AF115" s="294">
        <v>116</v>
      </c>
    </row>
    <row r="116" spans="24:32" ht="30">
      <c r="X116" s="294">
        <v>255</v>
      </c>
      <c r="Y116" s="294" t="s">
        <v>1000</v>
      </c>
      <c r="Z116" s="294" t="s">
        <v>884</v>
      </c>
      <c r="AA116" s="294" t="s">
        <v>233</v>
      </c>
      <c r="AB116" s="294" t="s">
        <v>838</v>
      </c>
      <c r="AC116" s="294" t="s">
        <v>1001</v>
      </c>
      <c r="AD116" s="296">
        <v>5.5370370370370368E-2</v>
      </c>
      <c r="AE116" s="294">
        <v>11.288</v>
      </c>
      <c r="AF116" s="294">
        <v>117</v>
      </c>
    </row>
    <row r="117" spans="24:32" ht="30">
      <c r="X117" s="294">
        <v>171</v>
      </c>
      <c r="Y117" s="294" t="s">
        <v>1002</v>
      </c>
      <c r="Z117" s="294" t="s">
        <v>1003</v>
      </c>
      <c r="AA117" s="294" t="s">
        <v>233</v>
      </c>
      <c r="AB117" s="294" t="s">
        <v>789</v>
      </c>
      <c r="AC117" s="294">
        <v>0</v>
      </c>
      <c r="AD117" s="296">
        <v>5.5381944444444442E-2</v>
      </c>
      <c r="AE117" s="294">
        <v>11.285</v>
      </c>
      <c r="AF117" s="294">
        <v>118</v>
      </c>
    </row>
    <row r="118" spans="24:32" ht="45">
      <c r="X118" s="294">
        <v>279</v>
      </c>
      <c r="Y118" s="294" t="s">
        <v>1004</v>
      </c>
      <c r="Z118" s="294" t="s">
        <v>1005</v>
      </c>
      <c r="AA118" s="294" t="s">
        <v>233</v>
      </c>
      <c r="AB118" s="294" t="s">
        <v>871</v>
      </c>
      <c r="AC118" s="294" t="s">
        <v>969</v>
      </c>
      <c r="AD118" s="296">
        <v>5.541666666666667E-2</v>
      </c>
      <c r="AE118" s="294">
        <v>11.278</v>
      </c>
      <c r="AF118" s="294">
        <v>119</v>
      </c>
    </row>
    <row r="119" spans="24:32">
      <c r="X119" s="294">
        <v>23</v>
      </c>
      <c r="Y119" s="294" t="s">
        <v>1006</v>
      </c>
      <c r="Z119" s="294" t="s">
        <v>825</v>
      </c>
      <c r="AA119" s="294" t="s">
        <v>233</v>
      </c>
      <c r="AB119" s="294" t="s">
        <v>880</v>
      </c>
      <c r="AC119" s="294" t="s">
        <v>950</v>
      </c>
      <c r="AD119" s="296">
        <v>5.545138888888889E-2</v>
      </c>
      <c r="AE119" s="294">
        <v>11.271000000000001</v>
      </c>
      <c r="AF119" s="294">
        <v>120</v>
      </c>
    </row>
    <row r="120" spans="24:32" ht="45">
      <c r="X120" s="294">
        <v>278</v>
      </c>
      <c r="Y120" s="294" t="s">
        <v>1007</v>
      </c>
      <c r="Z120" s="294" t="s">
        <v>1008</v>
      </c>
      <c r="AA120" s="294" t="s">
        <v>233</v>
      </c>
      <c r="AB120" s="294" t="s">
        <v>871</v>
      </c>
      <c r="AC120" s="294" t="s">
        <v>969</v>
      </c>
      <c r="AD120" s="296">
        <v>5.5486111111111104E-2</v>
      </c>
      <c r="AE120" s="294">
        <v>11.263999999999999</v>
      </c>
      <c r="AF120" s="294">
        <v>121</v>
      </c>
    </row>
    <row r="121" spans="24:32" ht="30">
      <c r="X121" s="294">
        <v>21</v>
      </c>
      <c r="Y121" s="294" t="s">
        <v>1009</v>
      </c>
      <c r="Z121" s="294" t="s">
        <v>923</v>
      </c>
      <c r="AA121" s="294" t="s">
        <v>233</v>
      </c>
      <c r="AB121" s="294" t="s">
        <v>826</v>
      </c>
      <c r="AC121" s="294">
        <v>0</v>
      </c>
      <c r="AD121" s="296">
        <v>5.5497685185185185E-2</v>
      </c>
      <c r="AE121" s="294">
        <v>11.262</v>
      </c>
      <c r="AF121" s="294">
        <v>122</v>
      </c>
    </row>
    <row r="122" spans="24:32">
      <c r="X122" s="294">
        <v>284</v>
      </c>
      <c r="Y122" s="294" t="s">
        <v>1010</v>
      </c>
      <c r="Z122" s="294" t="s">
        <v>1011</v>
      </c>
      <c r="AA122" s="294" t="s">
        <v>233</v>
      </c>
      <c r="AB122" s="294" t="s">
        <v>880</v>
      </c>
      <c r="AC122" s="294">
        <v>0</v>
      </c>
      <c r="AD122" s="296">
        <v>5.5555555555555552E-2</v>
      </c>
      <c r="AE122" s="294">
        <v>11.25</v>
      </c>
      <c r="AF122" s="294">
        <v>123</v>
      </c>
    </row>
    <row r="123" spans="24:32">
      <c r="X123" s="294">
        <v>207</v>
      </c>
      <c r="Y123" s="294" t="s">
        <v>1012</v>
      </c>
      <c r="Z123" s="294" t="s">
        <v>814</v>
      </c>
      <c r="AA123" s="294" t="s">
        <v>233</v>
      </c>
      <c r="AB123" s="294" t="s">
        <v>776</v>
      </c>
      <c r="AC123" s="294">
        <v>0</v>
      </c>
      <c r="AD123" s="296">
        <v>5.5601851851851847E-2</v>
      </c>
      <c r="AE123" s="294">
        <v>11.241</v>
      </c>
      <c r="AF123" s="294">
        <v>124</v>
      </c>
    </row>
    <row r="124" spans="24:32" ht="30">
      <c r="X124" s="294">
        <v>329</v>
      </c>
      <c r="Y124" s="294" t="s">
        <v>1013</v>
      </c>
      <c r="Z124" s="294" t="s">
        <v>923</v>
      </c>
      <c r="AA124" s="294" t="s">
        <v>233</v>
      </c>
      <c r="AB124" s="294" t="s">
        <v>776</v>
      </c>
      <c r="AC124" s="294">
        <v>0</v>
      </c>
      <c r="AD124" s="296">
        <v>5.5740740740740737E-2</v>
      </c>
      <c r="AE124" s="294">
        <v>11.212999999999999</v>
      </c>
      <c r="AF124" s="294">
        <v>125</v>
      </c>
    </row>
    <row r="125" spans="24:32">
      <c r="X125" s="294">
        <v>316</v>
      </c>
      <c r="Y125" s="294" t="s">
        <v>1009</v>
      </c>
      <c r="Z125" s="294" t="s">
        <v>1014</v>
      </c>
      <c r="AA125" s="294" t="s">
        <v>233</v>
      </c>
      <c r="AB125" s="294" t="s">
        <v>776</v>
      </c>
      <c r="AC125" s="294" t="s">
        <v>877</v>
      </c>
      <c r="AD125" s="296">
        <v>5.5775462962962964E-2</v>
      </c>
      <c r="AE125" s="294">
        <v>11.206</v>
      </c>
      <c r="AF125" s="294">
        <v>126</v>
      </c>
    </row>
    <row r="126" spans="24:32">
      <c r="X126" s="294">
        <v>108</v>
      </c>
      <c r="Y126" s="294" t="s">
        <v>1015</v>
      </c>
      <c r="Z126" s="294" t="s">
        <v>1008</v>
      </c>
      <c r="AA126" s="294" t="s">
        <v>233</v>
      </c>
      <c r="AB126" s="294" t="s">
        <v>776</v>
      </c>
      <c r="AC126" s="294" t="s">
        <v>1016</v>
      </c>
      <c r="AD126" s="296">
        <v>5.5856481481481479E-2</v>
      </c>
      <c r="AE126" s="294">
        <v>11.189</v>
      </c>
      <c r="AF126" s="294">
        <v>127</v>
      </c>
    </row>
    <row r="127" spans="24:32" ht="30">
      <c r="X127" s="294">
        <v>436</v>
      </c>
      <c r="Y127" s="294" t="s">
        <v>1017</v>
      </c>
      <c r="Z127" s="294" t="s">
        <v>804</v>
      </c>
      <c r="AA127" s="294" t="s">
        <v>233</v>
      </c>
      <c r="AB127" s="294" t="s">
        <v>776</v>
      </c>
      <c r="AC127" s="294" t="s">
        <v>1018</v>
      </c>
      <c r="AD127" s="296">
        <v>5.5925925925925928E-2</v>
      </c>
      <c r="AE127" s="294">
        <v>11.175000000000001</v>
      </c>
      <c r="AF127" s="294">
        <v>128</v>
      </c>
    </row>
    <row r="128" spans="24:32" ht="30">
      <c r="X128" s="294">
        <v>64</v>
      </c>
      <c r="Y128" s="294" t="s">
        <v>1019</v>
      </c>
      <c r="Z128" s="294" t="s">
        <v>1020</v>
      </c>
      <c r="AA128" s="294" t="s">
        <v>233</v>
      </c>
      <c r="AB128" s="294" t="s">
        <v>776</v>
      </c>
      <c r="AC128" s="294" t="s">
        <v>1021</v>
      </c>
      <c r="AD128" s="296">
        <v>5.5937500000000001E-2</v>
      </c>
      <c r="AE128" s="294">
        <v>11.173</v>
      </c>
      <c r="AF128" s="294">
        <v>129</v>
      </c>
    </row>
    <row r="129" spans="24:32">
      <c r="X129" s="294">
        <v>139</v>
      </c>
      <c r="Y129" s="294" t="s">
        <v>813</v>
      </c>
      <c r="Z129" s="294" t="s">
        <v>1022</v>
      </c>
      <c r="AA129" s="294" t="s">
        <v>233</v>
      </c>
      <c r="AB129" s="294" t="s">
        <v>776</v>
      </c>
      <c r="AC129" s="294">
        <v>0</v>
      </c>
      <c r="AD129" s="296">
        <v>5.5972222222222222E-2</v>
      </c>
      <c r="AE129" s="294">
        <v>11.166</v>
      </c>
      <c r="AF129" s="294">
        <v>130</v>
      </c>
    </row>
    <row r="130" spans="24:32" ht="30">
      <c r="X130" s="294">
        <v>290</v>
      </c>
      <c r="Y130" s="294" t="s">
        <v>1023</v>
      </c>
      <c r="Z130" s="294" t="s">
        <v>1024</v>
      </c>
      <c r="AA130" s="294" t="s">
        <v>896</v>
      </c>
      <c r="AB130" s="294" t="s">
        <v>871</v>
      </c>
      <c r="AC130" s="294" t="s">
        <v>861</v>
      </c>
      <c r="AD130" s="296">
        <v>5.6018518518518523E-2</v>
      </c>
      <c r="AE130" s="294">
        <v>11.157</v>
      </c>
      <c r="AF130" s="294">
        <v>131</v>
      </c>
    </row>
    <row r="131" spans="24:32" ht="30">
      <c r="X131" s="294">
        <v>374</v>
      </c>
      <c r="Y131" s="294" t="s">
        <v>1025</v>
      </c>
      <c r="Z131" s="294" t="s">
        <v>1026</v>
      </c>
      <c r="AA131" s="294" t="s">
        <v>233</v>
      </c>
      <c r="AB131" s="294" t="s">
        <v>838</v>
      </c>
      <c r="AC131" s="294" t="s">
        <v>1027</v>
      </c>
      <c r="AD131" s="296">
        <v>5.6053240740740744E-2</v>
      </c>
      <c r="AE131" s="294">
        <v>11.15</v>
      </c>
      <c r="AF131" s="294">
        <v>132</v>
      </c>
    </row>
    <row r="132" spans="24:32">
      <c r="X132" s="294">
        <v>481</v>
      </c>
      <c r="Y132" s="294" t="s">
        <v>1028</v>
      </c>
      <c r="Z132" s="294" t="s">
        <v>1029</v>
      </c>
      <c r="AA132" s="294" t="s">
        <v>233</v>
      </c>
      <c r="AB132" s="294" t="s">
        <v>789</v>
      </c>
      <c r="AC132" s="294">
        <v>0</v>
      </c>
      <c r="AD132" s="296">
        <v>5.6064814814814817E-2</v>
      </c>
      <c r="AE132" s="294">
        <v>11.148</v>
      </c>
      <c r="AF132" s="294">
        <v>133</v>
      </c>
    </row>
    <row r="133" spans="24:32">
      <c r="X133" s="294">
        <v>76</v>
      </c>
      <c r="Y133" s="294" t="s">
        <v>1030</v>
      </c>
      <c r="Z133" s="294" t="s">
        <v>919</v>
      </c>
      <c r="AA133" s="294" t="s">
        <v>233</v>
      </c>
      <c r="AB133" s="294" t="s">
        <v>789</v>
      </c>
      <c r="AC133" s="294">
        <v>0</v>
      </c>
      <c r="AD133" s="296">
        <v>5.6168981481481479E-2</v>
      </c>
      <c r="AE133" s="294">
        <v>11.127000000000001</v>
      </c>
      <c r="AF133" s="294">
        <v>134</v>
      </c>
    </row>
    <row r="134" spans="24:32" ht="30">
      <c r="X134" s="294">
        <v>180</v>
      </c>
      <c r="Y134" s="294" t="s">
        <v>1031</v>
      </c>
      <c r="Z134" s="294" t="s">
        <v>1032</v>
      </c>
      <c r="AA134" s="294" t="s">
        <v>233</v>
      </c>
      <c r="AB134" s="294" t="s">
        <v>826</v>
      </c>
      <c r="AC134" s="294">
        <v>0</v>
      </c>
      <c r="AD134" s="296">
        <v>5.6296296296296296E-2</v>
      </c>
      <c r="AE134" s="294">
        <v>11.102</v>
      </c>
      <c r="AF134" s="294">
        <v>135</v>
      </c>
    </row>
    <row r="135" spans="24:32" ht="30">
      <c r="X135" s="294">
        <v>74</v>
      </c>
      <c r="Y135" s="294" t="s">
        <v>1033</v>
      </c>
      <c r="Z135" s="294" t="s">
        <v>807</v>
      </c>
      <c r="AA135" s="294" t="s">
        <v>233</v>
      </c>
      <c r="AB135" s="294" t="s">
        <v>871</v>
      </c>
      <c r="AC135" s="294" t="s">
        <v>874</v>
      </c>
      <c r="AD135" s="296">
        <v>5.6307870370370362E-2</v>
      </c>
      <c r="AE135" s="294">
        <v>11.1</v>
      </c>
      <c r="AF135" s="294">
        <v>136</v>
      </c>
    </row>
    <row r="136" spans="24:32" ht="30">
      <c r="X136" s="294">
        <v>203</v>
      </c>
      <c r="Y136" s="294" t="s">
        <v>1034</v>
      </c>
      <c r="Z136" s="294" t="s">
        <v>1035</v>
      </c>
      <c r="AA136" s="294" t="s">
        <v>233</v>
      </c>
      <c r="AB136" s="294" t="s">
        <v>789</v>
      </c>
      <c r="AC136" s="294">
        <v>0</v>
      </c>
      <c r="AD136" s="296">
        <v>5.634259259259259E-2</v>
      </c>
      <c r="AE136" s="294">
        <v>11.093</v>
      </c>
      <c r="AF136" s="294">
        <v>137</v>
      </c>
    </row>
    <row r="137" spans="24:32" ht="30">
      <c r="X137" s="294">
        <v>88</v>
      </c>
      <c r="Y137" s="294" t="s">
        <v>967</v>
      </c>
      <c r="Z137" s="294" t="s">
        <v>1036</v>
      </c>
      <c r="AA137" s="294" t="s">
        <v>233</v>
      </c>
      <c r="AB137" s="294" t="s">
        <v>838</v>
      </c>
      <c r="AC137" s="294" t="s">
        <v>790</v>
      </c>
      <c r="AD137" s="296">
        <v>5.6365740740740744E-2</v>
      </c>
      <c r="AE137" s="294">
        <v>11.087999999999999</v>
      </c>
      <c r="AF137" s="294">
        <v>138</v>
      </c>
    </row>
    <row r="138" spans="24:32" ht="30">
      <c r="X138" s="294">
        <v>432</v>
      </c>
      <c r="Y138" s="294" t="s">
        <v>806</v>
      </c>
      <c r="Z138" s="294" t="s">
        <v>1037</v>
      </c>
      <c r="AA138" s="294" t="s">
        <v>233</v>
      </c>
      <c r="AB138" s="294" t="s">
        <v>789</v>
      </c>
      <c r="AC138" s="294">
        <v>0</v>
      </c>
      <c r="AD138" s="296">
        <v>5.6400462962962965E-2</v>
      </c>
      <c r="AE138" s="294">
        <v>11.081</v>
      </c>
      <c r="AF138" s="294">
        <v>139</v>
      </c>
    </row>
    <row r="139" spans="24:32">
      <c r="X139" s="294">
        <v>257</v>
      </c>
      <c r="Y139" s="294" t="s">
        <v>1038</v>
      </c>
      <c r="Z139" s="294" t="s">
        <v>919</v>
      </c>
      <c r="AA139" s="294" t="s">
        <v>233</v>
      </c>
      <c r="AB139" s="294" t="s">
        <v>776</v>
      </c>
      <c r="AC139" s="294">
        <v>0</v>
      </c>
      <c r="AD139" s="296">
        <v>5.6458333333333333E-2</v>
      </c>
      <c r="AE139" s="294">
        <v>11.07</v>
      </c>
      <c r="AF139" s="294">
        <v>140</v>
      </c>
    </row>
    <row r="140" spans="24:32" ht="30">
      <c r="X140" s="294">
        <v>490</v>
      </c>
      <c r="Y140" s="294" t="s">
        <v>806</v>
      </c>
      <c r="Z140" s="294" t="s">
        <v>1028</v>
      </c>
      <c r="AA140" s="294" t="s">
        <v>233</v>
      </c>
      <c r="AB140" s="294" t="s">
        <v>871</v>
      </c>
      <c r="AC140" s="294">
        <v>0</v>
      </c>
      <c r="AD140" s="296">
        <v>5.65162037037037E-2</v>
      </c>
      <c r="AE140" s="294">
        <v>11.058999999999999</v>
      </c>
      <c r="AF140" s="294">
        <v>141</v>
      </c>
    </row>
    <row r="141" spans="24:32">
      <c r="X141" s="294">
        <v>5</v>
      </c>
      <c r="Y141" s="294" t="s">
        <v>1039</v>
      </c>
      <c r="Z141" s="294" t="s">
        <v>1040</v>
      </c>
      <c r="AA141" s="294" t="s">
        <v>233</v>
      </c>
      <c r="AB141" s="294" t="s">
        <v>838</v>
      </c>
      <c r="AC141" s="294">
        <v>0</v>
      </c>
      <c r="AD141" s="296">
        <v>5.6574074074074075E-2</v>
      </c>
      <c r="AE141" s="294">
        <v>11.047000000000001</v>
      </c>
      <c r="AF141" s="294">
        <v>142</v>
      </c>
    </row>
    <row r="142" spans="24:32">
      <c r="X142" s="294">
        <v>448</v>
      </c>
      <c r="Y142" s="294" t="s">
        <v>1041</v>
      </c>
      <c r="Z142" s="294" t="s">
        <v>1042</v>
      </c>
      <c r="AA142" s="294" t="s">
        <v>896</v>
      </c>
      <c r="AB142" s="294" t="s">
        <v>776</v>
      </c>
      <c r="AC142" s="294" t="s">
        <v>1018</v>
      </c>
      <c r="AD142" s="296">
        <v>5.6620370370370376E-2</v>
      </c>
      <c r="AE142" s="294">
        <v>11.038</v>
      </c>
      <c r="AF142" s="294">
        <v>143</v>
      </c>
    </row>
    <row r="143" spans="24:32" ht="30">
      <c r="X143" s="294">
        <v>314</v>
      </c>
      <c r="Y143" s="294" t="s">
        <v>1043</v>
      </c>
      <c r="Z143" s="294" t="s">
        <v>976</v>
      </c>
      <c r="AA143" s="294" t="s">
        <v>233</v>
      </c>
      <c r="AB143" s="294" t="s">
        <v>789</v>
      </c>
      <c r="AC143" s="294" t="s">
        <v>790</v>
      </c>
      <c r="AD143" s="296">
        <v>5.6643518518518517E-2</v>
      </c>
      <c r="AE143" s="294">
        <v>11.034000000000001</v>
      </c>
      <c r="AF143" s="294">
        <v>144</v>
      </c>
    </row>
    <row r="144" spans="24:32" ht="30">
      <c r="X144" s="294">
        <v>155</v>
      </c>
      <c r="Y144" s="294" t="s">
        <v>1044</v>
      </c>
      <c r="Z144" s="294" t="s">
        <v>857</v>
      </c>
      <c r="AA144" s="294" t="s">
        <v>233</v>
      </c>
      <c r="AB144" s="294" t="s">
        <v>838</v>
      </c>
      <c r="AC144" s="294" t="s">
        <v>790</v>
      </c>
      <c r="AD144" s="296">
        <v>5.6678240740740737E-2</v>
      </c>
      <c r="AE144" s="294">
        <v>11.026999999999999</v>
      </c>
      <c r="AF144" s="294">
        <v>145</v>
      </c>
    </row>
    <row r="145" spans="24:32" ht="30">
      <c r="X145" s="294">
        <v>451</v>
      </c>
      <c r="Y145" s="294" t="s">
        <v>1045</v>
      </c>
      <c r="Z145" s="294" t="s">
        <v>853</v>
      </c>
      <c r="AA145" s="294" t="s">
        <v>233</v>
      </c>
      <c r="AB145" s="294" t="s">
        <v>776</v>
      </c>
      <c r="AC145" s="294" t="s">
        <v>1046</v>
      </c>
      <c r="AD145" s="296">
        <v>5.6689814814814811E-2</v>
      </c>
      <c r="AE145" s="294">
        <v>11.025</v>
      </c>
      <c r="AF145" s="294">
        <v>146</v>
      </c>
    </row>
    <row r="146" spans="24:32" ht="30">
      <c r="X146" s="294">
        <v>478</v>
      </c>
      <c r="Y146" s="294" t="s">
        <v>1047</v>
      </c>
      <c r="Z146" s="294" t="s">
        <v>945</v>
      </c>
      <c r="AA146" s="294" t="s">
        <v>233</v>
      </c>
      <c r="AB146" s="294" t="s">
        <v>838</v>
      </c>
      <c r="AC146" s="294" t="s">
        <v>861</v>
      </c>
      <c r="AD146" s="296">
        <v>5.6759259259259259E-2</v>
      </c>
      <c r="AE146" s="294">
        <v>11.010999999999999</v>
      </c>
      <c r="AF146" s="294">
        <v>147</v>
      </c>
    </row>
    <row r="147" spans="24:32">
      <c r="X147" s="294">
        <v>363</v>
      </c>
      <c r="Y147" s="294" t="s">
        <v>1048</v>
      </c>
      <c r="Z147" s="294" t="s">
        <v>1049</v>
      </c>
      <c r="AA147" s="294" t="s">
        <v>233</v>
      </c>
      <c r="AB147" s="294" t="s">
        <v>776</v>
      </c>
      <c r="AC147" s="294">
        <v>0</v>
      </c>
      <c r="AD147" s="296">
        <v>5.679398148148148E-2</v>
      </c>
      <c r="AE147" s="294">
        <v>11.005000000000001</v>
      </c>
      <c r="AF147" s="294">
        <v>148</v>
      </c>
    </row>
    <row r="148" spans="24:32">
      <c r="X148" s="294">
        <v>370</v>
      </c>
      <c r="Y148" s="294" t="s">
        <v>1050</v>
      </c>
      <c r="Z148" s="294" t="s">
        <v>1020</v>
      </c>
      <c r="AA148" s="294" t="s">
        <v>233</v>
      </c>
      <c r="AB148" s="294" t="s">
        <v>776</v>
      </c>
      <c r="AC148" s="294" t="s">
        <v>877</v>
      </c>
      <c r="AD148" s="296">
        <v>5.693287037037037E-2</v>
      </c>
      <c r="AE148" s="294">
        <v>10.978</v>
      </c>
      <c r="AF148" s="294">
        <v>149</v>
      </c>
    </row>
    <row r="149" spans="24:32">
      <c r="X149" s="294">
        <v>328</v>
      </c>
      <c r="Y149" s="294" t="s">
        <v>978</v>
      </c>
      <c r="Z149" s="294" t="s">
        <v>873</v>
      </c>
      <c r="AA149" s="294" t="s">
        <v>233</v>
      </c>
      <c r="AB149" s="294" t="s">
        <v>776</v>
      </c>
      <c r="AC149" s="294" t="s">
        <v>877</v>
      </c>
      <c r="AD149" s="296">
        <v>5.6990740740740738E-2</v>
      </c>
      <c r="AE149" s="294">
        <v>10.967000000000001</v>
      </c>
      <c r="AF149" s="294">
        <v>150</v>
      </c>
    </row>
    <row r="150" spans="24:32" ht="30">
      <c r="X150" s="294">
        <v>306</v>
      </c>
      <c r="Y150" s="294" t="s">
        <v>1051</v>
      </c>
      <c r="Z150" s="294" t="s">
        <v>984</v>
      </c>
      <c r="AA150" s="294" t="s">
        <v>233</v>
      </c>
      <c r="AB150" s="294" t="s">
        <v>838</v>
      </c>
      <c r="AC150" s="294" t="s">
        <v>797</v>
      </c>
      <c r="AD150" s="296">
        <v>5.7094907407407407E-2</v>
      </c>
      <c r="AE150" s="294">
        <v>10.946999999999999</v>
      </c>
      <c r="AF150" s="294">
        <v>151</v>
      </c>
    </row>
    <row r="151" spans="24:32" ht="45">
      <c r="X151" s="294">
        <v>482</v>
      </c>
      <c r="Y151" s="294" t="s">
        <v>1052</v>
      </c>
      <c r="Z151" s="294" t="s">
        <v>884</v>
      </c>
      <c r="AA151" s="294" t="s">
        <v>233</v>
      </c>
      <c r="AB151" s="294" t="s">
        <v>789</v>
      </c>
      <c r="AC151" s="294" t="s">
        <v>1053</v>
      </c>
      <c r="AD151" s="296">
        <v>5.7175925925925929E-2</v>
      </c>
      <c r="AE151" s="294">
        <v>10.930999999999999</v>
      </c>
      <c r="AF151" s="294">
        <v>152</v>
      </c>
    </row>
    <row r="152" spans="24:32">
      <c r="X152" s="294">
        <v>142</v>
      </c>
      <c r="Y152" s="294" t="s">
        <v>1054</v>
      </c>
      <c r="Z152" s="294" t="s">
        <v>891</v>
      </c>
      <c r="AA152" s="294" t="s">
        <v>233</v>
      </c>
      <c r="AB152" s="294" t="s">
        <v>776</v>
      </c>
      <c r="AC152" s="294">
        <v>0</v>
      </c>
      <c r="AD152" s="296">
        <v>5.7199074074074076E-2</v>
      </c>
      <c r="AE152" s="294">
        <v>10.927</v>
      </c>
      <c r="AF152" s="294">
        <v>153</v>
      </c>
    </row>
    <row r="153" spans="24:32" ht="30">
      <c r="X153" s="294">
        <v>460</v>
      </c>
      <c r="Y153" s="294" t="s">
        <v>1055</v>
      </c>
      <c r="Z153" s="294" t="s">
        <v>1056</v>
      </c>
      <c r="AA153" s="294" t="s">
        <v>233</v>
      </c>
      <c r="AB153" s="294" t="s">
        <v>789</v>
      </c>
      <c r="AC153" s="294" t="s">
        <v>1057</v>
      </c>
      <c r="AD153" s="296">
        <v>5.724537037037037E-2</v>
      </c>
      <c r="AE153" s="294">
        <v>10.917999999999999</v>
      </c>
      <c r="AF153" s="294">
        <v>154</v>
      </c>
    </row>
    <row r="154" spans="24:32" ht="30">
      <c r="X154" s="294">
        <v>47</v>
      </c>
      <c r="Y154" s="294" t="s">
        <v>1058</v>
      </c>
      <c r="Z154" s="294" t="s">
        <v>1059</v>
      </c>
      <c r="AA154" s="294" t="s">
        <v>233</v>
      </c>
      <c r="AB154" s="294" t="s">
        <v>789</v>
      </c>
      <c r="AC154" s="294">
        <v>0</v>
      </c>
      <c r="AD154" s="296">
        <v>5.7256944444444437E-2</v>
      </c>
      <c r="AE154" s="294">
        <v>10.916</v>
      </c>
      <c r="AF154" s="294">
        <v>155</v>
      </c>
    </row>
    <row r="155" spans="24:32" ht="30">
      <c r="X155" s="294">
        <v>458</v>
      </c>
      <c r="Y155" s="294" t="s">
        <v>1060</v>
      </c>
      <c r="Z155" s="294" t="s">
        <v>1061</v>
      </c>
      <c r="AA155" s="294" t="s">
        <v>896</v>
      </c>
      <c r="AB155" s="294" t="s">
        <v>789</v>
      </c>
      <c r="AC155" s="294" t="s">
        <v>1062</v>
      </c>
      <c r="AD155" s="296">
        <v>5.7303240740740745E-2</v>
      </c>
      <c r="AE155" s="294">
        <v>10.907</v>
      </c>
      <c r="AF155" s="294">
        <v>156</v>
      </c>
    </row>
    <row r="156" spans="24:32">
      <c r="X156" s="294">
        <v>66</v>
      </c>
      <c r="Y156" s="294" t="s">
        <v>863</v>
      </c>
      <c r="Z156" s="294" t="s">
        <v>1063</v>
      </c>
      <c r="AA156" s="294" t="s">
        <v>896</v>
      </c>
      <c r="AB156" s="294" t="s">
        <v>789</v>
      </c>
      <c r="AC156" s="294" t="s">
        <v>1064</v>
      </c>
      <c r="AD156" s="296">
        <v>5.7314814814814818E-2</v>
      </c>
      <c r="AE156" s="294">
        <v>10.904999999999999</v>
      </c>
      <c r="AF156" s="294">
        <v>157</v>
      </c>
    </row>
    <row r="157" spans="24:32">
      <c r="X157" s="294">
        <v>211</v>
      </c>
      <c r="Y157" s="294" t="s">
        <v>813</v>
      </c>
      <c r="Z157" s="294" t="s">
        <v>1065</v>
      </c>
      <c r="AA157" s="294" t="s">
        <v>233</v>
      </c>
      <c r="AB157" s="294" t="s">
        <v>789</v>
      </c>
      <c r="AC157" s="294">
        <v>0</v>
      </c>
      <c r="AD157" s="296">
        <v>5.7384259259259253E-2</v>
      </c>
      <c r="AE157" s="294">
        <v>10.891</v>
      </c>
      <c r="AF157" s="294">
        <v>158</v>
      </c>
    </row>
    <row r="158" spans="24:32" ht="30">
      <c r="X158" s="294">
        <v>424</v>
      </c>
      <c r="Y158" s="294" t="s">
        <v>1066</v>
      </c>
      <c r="Z158" s="294" t="s">
        <v>990</v>
      </c>
      <c r="AA158" s="294" t="s">
        <v>233</v>
      </c>
      <c r="AB158" s="294" t="s">
        <v>789</v>
      </c>
      <c r="AC158" s="294" t="s">
        <v>1067</v>
      </c>
      <c r="AD158" s="296">
        <v>5.7418981481481481E-2</v>
      </c>
      <c r="AE158" s="294">
        <v>10.885</v>
      </c>
      <c r="AF158" s="294">
        <v>159</v>
      </c>
    </row>
    <row r="159" spans="24:32">
      <c r="X159" s="294">
        <v>327</v>
      </c>
      <c r="Y159" s="294" t="s">
        <v>1068</v>
      </c>
      <c r="Z159" s="294" t="s">
        <v>857</v>
      </c>
      <c r="AA159" s="294" t="s">
        <v>233</v>
      </c>
      <c r="AB159" s="294" t="s">
        <v>838</v>
      </c>
      <c r="AC159" s="294">
        <v>0</v>
      </c>
      <c r="AD159" s="296">
        <v>5.7430555555555561E-2</v>
      </c>
      <c r="AE159" s="294">
        <v>10.882999999999999</v>
      </c>
      <c r="AF159" s="294">
        <v>160</v>
      </c>
    </row>
    <row r="160" spans="24:32" ht="45">
      <c r="X160" s="294">
        <v>277</v>
      </c>
      <c r="Y160" s="294" t="s">
        <v>1069</v>
      </c>
      <c r="Z160" s="294" t="s">
        <v>891</v>
      </c>
      <c r="AA160" s="294" t="s">
        <v>233</v>
      </c>
      <c r="AB160" s="294" t="s">
        <v>826</v>
      </c>
      <c r="AC160" s="294" t="s">
        <v>969</v>
      </c>
      <c r="AD160" s="296">
        <v>5.7476851851851855E-2</v>
      </c>
      <c r="AE160" s="294">
        <v>10.874000000000001</v>
      </c>
      <c r="AF160" s="294">
        <v>161</v>
      </c>
    </row>
    <row r="161" spans="24:32" ht="30">
      <c r="X161" s="294">
        <v>400</v>
      </c>
      <c r="Y161" s="294" t="s">
        <v>1070</v>
      </c>
      <c r="Z161" s="294" t="s">
        <v>1071</v>
      </c>
      <c r="AA161" s="294" t="s">
        <v>233</v>
      </c>
      <c r="AB161" s="294" t="s">
        <v>776</v>
      </c>
      <c r="AC161" s="294" t="s">
        <v>1072</v>
      </c>
      <c r="AD161" s="296">
        <v>5.7638888888888885E-2</v>
      </c>
      <c r="AE161" s="294">
        <v>10.843</v>
      </c>
      <c r="AF161" s="294">
        <v>162</v>
      </c>
    </row>
    <row r="162" spans="24:32" ht="30">
      <c r="X162" s="294">
        <v>486</v>
      </c>
      <c r="Y162" s="294" t="s">
        <v>1073</v>
      </c>
      <c r="Z162" s="294" t="s">
        <v>1014</v>
      </c>
      <c r="AA162" s="294" t="s">
        <v>233</v>
      </c>
      <c r="AB162" s="294" t="s">
        <v>789</v>
      </c>
      <c r="AC162" s="294" t="s">
        <v>1074</v>
      </c>
      <c r="AD162" s="296">
        <v>5.7662037037037039E-2</v>
      </c>
      <c r="AE162" s="294">
        <v>10.839</v>
      </c>
      <c r="AF162" s="294">
        <v>163</v>
      </c>
    </row>
    <row r="163" spans="24:32" ht="30">
      <c r="X163" s="294">
        <v>104</v>
      </c>
      <c r="Y163" s="294" t="s">
        <v>1075</v>
      </c>
      <c r="Z163" s="294" t="s">
        <v>1076</v>
      </c>
      <c r="AA163" s="294" t="s">
        <v>233</v>
      </c>
      <c r="AB163" s="294" t="s">
        <v>776</v>
      </c>
      <c r="AC163" s="294" t="s">
        <v>937</v>
      </c>
      <c r="AD163" s="296">
        <v>5.7719907407407407E-2</v>
      </c>
      <c r="AE163" s="294">
        <v>10.827999999999999</v>
      </c>
      <c r="AF163" s="294">
        <v>164</v>
      </c>
    </row>
    <row r="164" spans="24:32">
      <c r="X164" s="294">
        <v>131</v>
      </c>
      <c r="Y164" s="294" t="s">
        <v>1077</v>
      </c>
      <c r="Z164" s="294" t="s">
        <v>884</v>
      </c>
      <c r="AA164" s="294" t="s">
        <v>233</v>
      </c>
      <c r="AB164" s="294" t="s">
        <v>776</v>
      </c>
      <c r="AC164" s="294">
        <v>0</v>
      </c>
      <c r="AD164" s="296">
        <v>5.7777777777777782E-2</v>
      </c>
      <c r="AE164" s="294">
        <v>10.817</v>
      </c>
      <c r="AF164" s="294">
        <v>165</v>
      </c>
    </row>
    <row r="165" spans="24:32">
      <c r="X165" s="294">
        <v>169</v>
      </c>
      <c r="Y165" s="294" t="s">
        <v>1078</v>
      </c>
      <c r="Z165" s="294" t="s">
        <v>820</v>
      </c>
      <c r="AA165" s="294" t="s">
        <v>233</v>
      </c>
      <c r="AB165" s="294" t="s">
        <v>776</v>
      </c>
      <c r="AC165" s="294">
        <v>0</v>
      </c>
      <c r="AD165" s="296">
        <v>5.7824074074074076E-2</v>
      </c>
      <c r="AE165" s="294">
        <v>10.808999999999999</v>
      </c>
      <c r="AF165" s="294">
        <v>166</v>
      </c>
    </row>
    <row r="166" spans="24:32" ht="45">
      <c r="X166" s="294">
        <v>270</v>
      </c>
      <c r="Y166" s="294" t="s">
        <v>1079</v>
      </c>
      <c r="Z166" s="294" t="s">
        <v>914</v>
      </c>
      <c r="AA166" s="294" t="s">
        <v>233</v>
      </c>
      <c r="AB166" s="294" t="s">
        <v>826</v>
      </c>
      <c r="AC166" s="294" t="s">
        <v>969</v>
      </c>
      <c r="AD166" s="296">
        <v>5.8078703703703709E-2</v>
      </c>
      <c r="AE166" s="294">
        <v>10.760999999999999</v>
      </c>
      <c r="AF166" s="294">
        <v>167</v>
      </c>
    </row>
    <row r="167" spans="24:32" ht="30">
      <c r="X167" s="294">
        <v>346</v>
      </c>
      <c r="Y167" s="294" t="s">
        <v>1080</v>
      </c>
      <c r="Z167" s="294" t="s">
        <v>996</v>
      </c>
      <c r="AA167" s="294" t="s">
        <v>233</v>
      </c>
      <c r="AB167" s="294" t="s">
        <v>826</v>
      </c>
      <c r="AC167" s="294" t="s">
        <v>1081</v>
      </c>
      <c r="AD167" s="296">
        <v>5.8159722222222217E-2</v>
      </c>
      <c r="AE167" s="294">
        <v>10.746</v>
      </c>
      <c r="AF167" s="294">
        <v>168</v>
      </c>
    </row>
    <row r="168" spans="24:32" ht="30">
      <c r="X168" s="294">
        <v>235</v>
      </c>
      <c r="Y168" s="294" t="s">
        <v>872</v>
      </c>
      <c r="Z168" s="294" t="s">
        <v>793</v>
      </c>
      <c r="AA168" s="294" t="s">
        <v>233</v>
      </c>
      <c r="AB168" s="294" t="s">
        <v>789</v>
      </c>
      <c r="AC168" s="294" t="s">
        <v>790</v>
      </c>
      <c r="AD168" s="296">
        <v>5.8206018518518511E-2</v>
      </c>
      <c r="AE168" s="294">
        <v>10.738</v>
      </c>
      <c r="AF168" s="294">
        <v>169</v>
      </c>
    </row>
    <row r="169" spans="24:32">
      <c r="X169" s="294">
        <v>268</v>
      </c>
      <c r="Y169" s="294" t="s">
        <v>1082</v>
      </c>
      <c r="Z169" s="294" t="s">
        <v>1065</v>
      </c>
      <c r="AA169" s="294" t="s">
        <v>233</v>
      </c>
      <c r="AB169" s="294" t="s">
        <v>871</v>
      </c>
      <c r="AC169" s="294">
        <v>0</v>
      </c>
      <c r="AD169" s="296">
        <v>5.8252314814814819E-2</v>
      </c>
      <c r="AE169" s="294">
        <v>10.728999999999999</v>
      </c>
      <c r="AF169" s="294">
        <v>170</v>
      </c>
    </row>
    <row r="170" spans="24:32" ht="45">
      <c r="X170" s="294">
        <v>16</v>
      </c>
      <c r="Y170" s="294" t="s">
        <v>1083</v>
      </c>
      <c r="Z170" s="294" t="s">
        <v>1084</v>
      </c>
      <c r="AA170" s="294" t="s">
        <v>233</v>
      </c>
      <c r="AB170" s="294" t="s">
        <v>1085</v>
      </c>
      <c r="AC170" s="294" t="s">
        <v>1086</v>
      </c>
      <c r="AD170" s="296">
        <v>5.8275462962962966E-2</v>
      </c>
      <c r="AE170" s="294">
        <v>10.725</v>
      </c>
      <c r="AF170" s="294">
        <v>171</v>
      </c>
    </row>
    <row r="171" spans="24:32" ht="30">
      <c r="X171" s="294">
        <v>303</v>
      </c>
      <c r="Y171" s="294" t="s">
        <v>1087</v>
      </c>
      <c r="Z171" s="294" t="s">
        <v>976</v>
      </c>
      <c r="AA171" s="294" t="s">
        <v>233</v>
      </c>
      <c r="AB171" s="294" t="s">
        <v>789</v>
      </c>
      <c r="AC171" s="294" t="s">
        <v>797</v>
      </c>
      <c r="AD171" s="296">
        <v>5.8321759259259261E-2</v>
      </c>
      <c r="AE171" s="294">
        <v>10.715999999999999</v>
      </c>
      <c r="AF171" s="294">
        <v>172</v>
      </c>
    </row>
    <row r="172" spans="24:32">
      <c r="X172" s="294">
        <v>416</v>
      </c>
      <c r="Y172" s="294" t="s">
        <v>1088</v>
      </c>
      <c r="Z172" s="294" t="s">
        <v>820</v>
      </c>
      <c r="AA172" s="294" t="s">
        <v>233</v>
      </c>
      <c r="AB172" s="294" t="s">
        <v>776</v>
      </c>
      <c r="AC172" s="294">
        <v>0</v>
      </c>
      <c r="AD172" s="296">
        <v>5.8379629629629635E-2</v>
      </c>
      <c r="AE172" s="294">
        <v>10.706</v>
      </c>
      <c r="AF172" s="294">
        <v>173</v>
      </c>
    </row>
    <row r="173" spans="24:32" ht="30">
      <c r="X173" s="294">
        <v>339</v>
      </c>
      <c r="Y173" s="294" t="s">
        <v>1071</v>
      </c>
      <c r="Z173" s="294" t="s">
        <v>1089</v>
      </c>
      <c r="AA173" s="294" t="s">
        <v>233</v>
      </c>
      <c r="AB173" s="294" t="s">
        <v>776</v>
      </c>
      <c r="AC173" s="294">
        <v>0</v>
      </c>
      <c r="AD173" s="296">
        <v>5.8402777777777776E-2</v>
      </c>
      <c r="AE173" s="294">
        <v>10.702</v>
      </c>
      <c r="AF173" s="294">
        <v>174</v>
      </c>
    </row>
    <row r="174" spans="24:32">
      <c r="X174" s="294">
        <v>218</v>
      </c>
      <c r="Y174" s="294" t="s">
        <v>1090</v>
      </c>
      <c r="Z174" s="294" t="s">
        <v>1091</v>
      </c>
      <c r="AA174" s="294" t="s">
        <v>233</v>
      </c>
      <c r="AB174" s="294" t="s">
        <v>789</v>
      </c>
      <c r="AC174" s="294">
        <v>0</v>
      </c>
      <c r="AD174" s="296">
        <v>5.8460648148148144E-2</v>
      </c>
      <c r="AE174" s="294">
        <v>10.691000000000001</v>
      </c>
      <c r="AF174" s="294">
        <v>175</v>
      </c>
    </row>
    <row r="175" spans="24:32">
      <c r="X175" s="294">
        <v>179</v>
      </c>
      <c r="Y175" s="294" t="s">
        <v>1092</v>
      </c>
      <c r="Z175" s="294" t="s">
        <v>1022</v>
      </c>
      <c r="AA175" s="294" t="s">
        <v>233</v>
      </c>
      <c r="AB175" s="294" t="s">
        <v>776</v>
      </c>
      <c r="AC175" s="294">
        <v>0</v>
      </c>
      <c r="AD175" s="296">
        <v>5.8483796296296298E-2</v>
      </c>
      <c r="AE175" s="294">
        <v>10.686999999999999</v>
      </c>
      <c r="AF175" s="294">
        <v>176</v>
      </c>
    </row>
    <row r="176" spans="24:32">
      <c r="X176" s="294">
        <v>467</v>
      </c>
      <c r="Y176" s="294" t="s">
        <v>1093</v>
      </c>
      <c r="Z176" s="294" t="s">
        <v>1008</v>
      </c>
      <c r="AA176" s="294" t="s">
        <v>233</v>
      </c>
      <c r="AB176" s="294" t="s">
        <v>776</v>
      </c>
      <c r="AC176" s="294">
        <v>0</v>
      </c>
      <c r="AD176" s="296">
        <v>5.8530092592592592E-2</v>
      </c>
      <c r="AE176" s="294">
        <v>10.678000000000001</v>
      </c>
      <c r="AF176" s="294">
        <v>177</v>
      </c>
    </row>
    <row r="177" spans="24:32">
      <c r="X177" s="294">
        <v>347</v>
      </c>
      <c r="Y177" s="294" t="s">
        <v>1094</v>
      </c>
      <c r="Z177" s="294" t="s">
        <v>1095</v>
      </c>
      <c r="AA177" s="294" t="s">
        <v>233</v>
      </c>
      <c r="AB177" s="294" t="s">
        <v>776</v>
      </c>
      <c r="AC177" s="294">
        <v>0</v>
      </c>
      <c r="AD177" s="296">
        <v>5.8553240740740746E-2</v>
      </c>
      <c r="AE177" s="294">
        <v>10.673999999999999</v>
      </c>
      <c r="AF177" s="294">
        <v>178</v>
      </c>
    </row>
    <row r="178" spans="24:32" ht="30">
      <c r="X178" s="294">
        <v>301</v>
      </c>
      <c r="Y178" s="294" t="s">
        <v>1096</v>
      </c>
      <c r="Z178" s="294" t="s">
        <v>1097</v>
      </c>
      <c r="AA178" s="294" t="s">
        <v>233</v>
      </c>
      <c r="AB178" s="294" t="s">
        <v>838</v>
      </c>
      <c r="AC178" s="294" t="s">
        <v>797</v>
      </c>
      <c r="AD178" s="296">
        <v>5.8576388888888886E-2</v>
      </c>
      <c r="AE178" s="294">
        <v>10.67</v>
      </c>
      <c r="AF178" s="294">
        <v>179</v>
      </c>
    </row>
    <row r="179" spans="24:32" ht="30">
      <c r="X179" s="294">
        <v>281</v>
      </c>
      <c r="Y179" s="294" t="s">
        <v>1098</v>
      </c>
      <c r="Z179" s="294" t="s">
        <v>1099</v>
      </c>
      <c r="AA179" s="294" t="s">
        <v>233</v>
      </c>
      <c r="AB179" s="294" t="s">
        <v>826</v>
      </c>
      <c r="AC179" s="294" t="s">
        <v>864</v>
      </c>
      <c r="AD179" s="296">
        <v>5.8750000000000004E-2</v>
      </c>
      <c r="AE179" s="294">
        <v>10.638</v>
      </c>
      <c r="AF179" s="294">
        <v>180</v>
      </c>
    </row>
    <row r="180" spans="24:32">
      <c r="X180" s="294">
        <v>409</v>
      </c>
      <c r="Y180" s="294" t="s">
        <v>1100</v>
      </c>
      <c r="Z180" s="294" t="s">
        <v>964</v>
      </c>
      <c r="AA180" s="294" t="s">
        <v>233</v>
      </c>
      <c r="AB180" s="294" t="s">
        <v>789</v>
      </c>
      <c r="AC180" s="294" t="s">
        <v>974</v>
      </c>
      <c r="AD180" s="296">
        <v>5.8773148148148151E-2</v>
      </c>
      <c r="AE180" s="294">
        <v>10.634</v>
      </c>
      <c r="AF180" s="294">
        <v>181</v>
      </c>
    </row>
    <row r="181" spans="24:32">
      <c r="X181" s="294">
        <v>493</v>
      </c>
      <c r="Y181" s="294" t="s">
        <v>1101</v>
      </c>
      <c r="Z181" s="294" t="s">
        <v>1102</v>
      </c>
      <c r="AA181" s="294" t="s">
        <v>896</v>
      </c>
      <c r="AB181" s="294" t="s">
        <v>880</v>
      </c>
      <c r="AC181" s="294" t="s">
        <v>1103</v>
      </c>
      <c r="AD181" s="296">
        <v>5.8796296296296298E-2</v>
      </c>
      <c r="AE181" s="294">
        <v>10.63</v>
      </c>
      <c r="AF181" s="294">
        <v>182</v>
      </c>
    </row>
    <row r="182" spans="24:32" ht="45">
      <c r="X182" s="294">
        <v>330</v>
      </c>
      <c r="Y182" s="294" t="s">
        <v>1071</v>
      </c>
      <c r="Z182" s="294" t="s">
        <v>976</v>
      </c>
      <c r="AA182" s="294" t="s">
        <v>233</v>
      </c>
      <c r="AB182" s="294" t="s">
        <v>789</v>
      </c>
      <c r="AC182" s="294" t="s">
        <v>1104</v>
      </c>
      <c r="AD182" s="296">
        <v>5.8969907407407408E-2</v>
      </c>
      <c r="AE182" s="294">
        <v>10.599</v>
      </c>
      <c r="AF182" s="294">
        <v>183</v>
      </c>
    </row>
    <row r="183" spans="24:32" ht="30">
      <c r="X183" s="294">
        <v>48</v>
      </c>
      <c r="Y183" s="294" t="s">
        <v>1083</v>
      </c>
      <c r="Z183" s="294" t="s">
        <v>1105</v>
      </c>
      <c r="AA183" s="294" t="s">
        <v>233</v>
      </c>
      <c r="AB183" s="294" t="s">
        <v>776</v>
      </c>
      <c r="AC183" s="294" t="s">
        <v>1046</v>
      </c>
      <c r="AD183" s="296">
        <v>5.9027777777777783E-2</v>
      </c>
      <c r="AE183" s="294">
        <v>10.587999999999999</v>
      </c>
      <c r="AF183" s="294">
        <v>184</v>
      </c>
    </row>
    <row r="184" spans="24:32">
      <c r="X184" s="294">
        <v>138</v>
      </c>
      <c r="Y184" s="294" t="s">
        <v>1106</v>
      </c>
      <c r="Z184" s="294" t="s">
        <v>1107</v>
      </c>
      <c r="AA184" s="294" t="s">
        <v>233</v>
      </c>
      <c r="AB184" s="294" t="s">
        <v>776</v>
      </c>
      <c r="AC184" s="294">
        <v>0</v>
      </c>
      <c r="AD184" s="296">
        <v>5.9074074074074077E-2</v>
      </c>
      <c r="AE184" s="294">
        <v>10.58</v>
      </c>
      <c r="AF184" s="294">
        <v>185</v>
      </c>
    </row>
    <row r="185" spans="24:32" ht="30">
      <c r="X185" s="294">
        <v>479</v>
      </c>
      <c r="Y185" s="294" t="s">
        <v>1023</v>
      </c>
      <c r="Z185" s="294" t="s">
        <v>1108</v>
      </c>
      <c r="AA185" s="294" t="s">
        <v>233</v>
      </c>
      <c r="AB185" s="294" t="s">
        <v>838</v>
      </c>
      <c r="AC185" s="294" t="s">
        <v>861</v>
      </c>
      <c r="AD185" s="296">
        <v>5.9166666666666666E-2</v>
      </c>
      <c r="AE185" s="294">
        <v>10.563000000000001</v>
      </c>
      <c r="AF185" s="294">
        <v>186</v>
      </c>
    </row>
    <row r="186" spans="24:32">
      <c r="X186" s="294">
        <v>297</v>
      </c>
      <c r="Y186" s="294" t="s">
        <v>1109</v>
      </c>
      <c r="Z186" s="294" t="s">
        <v>1036</v>
      </c>
      <c r="AA186" s="294" t="s">
        <v>233</v>
      </c>
      <c r="AB186" s="294" t="s">
        <v>1085</v>
      </c>
      <c r="AC186" s="294">
        <v>0</v>
      </c>
      <c r="AD186" s="296">
        <v>5.9247685185185188E-2</v>
      </c>
      <c r="AE186" s="294">
        <v>10.548999999999999</v>
      </c>
      <c r="AF186" s="294">
        <v>187</v>
      </c>
    </row>
    <row r="187" spans="24:32" ht="30">
      <c r="X187" s="294">
        <v>385</v>
      </c>
      <c r="Y187" s="294" t="s">
        <v>1110</v>
      </c>
      <c r="Z187" s="294" t="s">
        <v>1111</v>
      </c>
      <c r="AA187" s="294" t="s">
        <v>233</v>
      </c>
      <c r="AB187" s="294" t="s">
        <v>776</v>
      </c>
      <c r="AC187" s="294">
        <v>0</v>
      </c>
      <c r="AD187" s="296">
        <v>5.932870370370371E-2</v>
      </c>
      <c r="AE187" s="294">
        <v>10.535</v>
      </c>
      <c r="AF187" s="294">
        <v>188</v>
      </c>
    </row>
    <row r="188" spans="24:32">
      <c r="X188" s="294">
        <v>495</v>
      </c>
      <c r="Y188" s="294" t="s">
        <v>1112</v>
      </c>
      <c r="Z188" s="294" t="s">
        <v>868</v>
      </c>
      <c r="AA188" s="294" t="s">
        <v>233</v>
      </c>
      <c r="AB188" s="294" t="s">
        <v>776</v>
      </c>
      <c r="AC188" s="294">
        <v>0</v>
      </c>
      <c r="AD188" s="296">
        <v>5.9386574074074071E-2</v>
      </c>
      <c r="AE188" s="294">
        <v>10.523999999999999</v>
      </c>
      <c r="AF188" s="294">
        <v>189</v>
      </c>
    </row>
    <row r="189" spans="24:32" ht="30">
      <c r="X189" s="294">
        <v>113</v>
      </c>
      <c r="Y189" s="294" t="s">
        <v>1113</v>
      </c>
      <c r="Z189" s="294" t="s">
        <v>1114</v>
      </c>
      <c r="AA189" s="294" t="s">
        <v>233</v>
      </c>
      <c r="AB189" s="294" t="s">
        <v>789</v>
      </c>
      <c r="AC189" s="294">
        <v>0</v>
      </c>
      <c r="AD189" s="296">
        <v>5.9421296296296298E-2</v>
      </c>
      <c r="AE189" s="294">
        <v>10.518000000000001</v>
      </c>
      <c r="AF189" s="294">
        <v>190</v>
      </c>
    </row>
    <row r="190" spans="24:32">
      <c r="X190" s="294">
        <v>371</v>
      </c>
      <c r="Y190" s="294" t="s">
        <v>1115</v>
      </c>
      <c r="Z190" s="294" t="s">
        <v>1116</v>
      </c>
      <c r="AA190" s="294" t="s">
        <v>233</v>
      </c>
      <c r="AB190" s="294" t="s">
        <v>838</v>
      </c>
      <c r="AC190" s="294">
        <v>0</v>
      </c>
      <c r="AD190" s="296">
        <v>5.9456018518518526E-2</v>
      </c>
      <c r="AE190" s="294">
        <v>10.512</v>
      </c>
      <c r="AF190" s="294">
        <v>191</v>
      </c>
    </row>
    <row r="191" spans="24:32">
      <c r="X191" s="294">
        <v>202</v>
      </c>
      <c r="Y191" s="294" t="s">
        <v>1117</v>
      </c>
      <c r="Z191" s="294" t="s">
        <v>964</v>
      </c>
      <c r="AA191" s="294" t="s">
        <v>233</v>
      </c>
      <c r="AB191" s="294" t="s">
        <v>776</v>
      </c>
      <c r="AC191" s="294">
        <v>0</v>
      </c>
      <c r="AD191" s="296">
        <v>5.9548611111111115E-2</v>
      </c>
      <c r="AE191" s="294">
        <v>10.496</v>
      </c>
      <c r="AF191" s="294">
        <v>192</v>
      </c>
    </row>
    <row r="192" spans="24:32">
      <c r="X192" s="294">
        <v>480</v>
      </c>
      <c r="Y192" s="294" t="s">
        <v>1118</v>
      </c>
      <c r="Z192" s="294" t="s">
        <v>1119</v>
      </c>
      <c r="AA192" s="294" t="s">
        <v>233</v>
      </c>
      <c r="AB192" s="294" t="s">
        <v>838</v>
      </c>
      <c r="AC192" s="294" t="s">
        <v>946</v>
      </c>
      <c r="AD192" s="296">
        <v>5.9745370370370372E-2</v>
      </c>
      <c r="AE192" s="294">
        <v>10.461</v>
      </c>
      <c r="AF192" s="294">
        <v>193</v>
      </c>
    </row>
    <row r="193" spans="24:32" ht="30">
      <c r="X193" s="294">
        <v>231</v>
      </c>
      <c r="Y193" s="294" t="s">
        <v>1120</v>
      </c>
      <c r="Z193" s="294" t="s">
        <v>1121</v>
      </c>
      <c r="AA193" s="294" t="s">
        <v>233</v>
      </c>
      <c r="AB193" s="294" t="s">
        <v>776</v>
      </c>
      <c r="AC193" s="294" t="s">
        <v>1122</v>
      </c>
      <c r="AD193" s="296">
        <v>5.9756944444444439E-2</v>
      </c>
      <c r="AE193" s="294">
        <v>10.459</v>
      </c>
      <c r="AF193" s="294">
        <v>194</v>
      </c>
    </row>
    <row r="194" spans="24:32">
      <c r="X194" s="294">
        <v>474</v>
      </c>
      <c r="Y194" s="294" t="s">
        <v>1123</v>
      </c>
      <c r="Z194" s="294" t="s">
        <v>1124</v>
      </c>
      <c r="AA194" s="294" t="s">
        <v>896</v>
      </c>
      <c r="AB194" s="294" t="s">
        <v>776</v>
      </c>
      <c r="AC194" s="294" t="s">
        <v>885</v>
      </c>
      <c r="AD194" s="296">
        <v>5.9780092592592593E-2</v>
      </c>
      <c r="AE194" s="294">
        <v>10.455</v>
      </c>
      <c r="AF194" s="294">
        <v>195</v>
      </c>
    </row>
    <row r="195" spans="24:32" ht="30">
      <c r="X195" s="294">
        <v>238</v>
      </c>
      <c r="Y195" s="294" t="s">
        <v>1125</v>
      </c>
      <c r="Z195" s="294" t="s">
        <v>1126</v>
      </c>
      <c r="AA195" s="294" t="s">
        <v>896</v>
      </c>
      <c r="AB195" s="294" t="s">
        <v>776</v>
      </c>
      <c r="AC195" s="294">
        <v>0</v>
      </c>
      <c r="AD195" s="296">
        <v>5.9861111111111108E-2</v>
      </c>
      <c r="AE195" s="294">
        <v>10.441000000000001</v>
      </c>
      <c r="AF195" s="294">
        <v>196</v>
      </c>
    </row>
    <row r="196" spans="24:32" ht="30">
      <c r="X196" s="294">
        <v>462</v>
      </c>
      <c r="Y196" s="294" t="s">
        <v>967</v>
      </c>
      <c r="Z196" s="294" t="s">
        <v>923</v>
      </c>
      <c r="AA196" s="294" t="s">
        <v>233</v>
      </c>
      <c r="AB196" s="294" t="s">
        <v>776</v>
      </c>
      <c r="AC196" s="294">
        <v>0</v>
      </c>
      <c r="AD196" s="296">
        <v>5.9918981481481483E-2</v>
      </c>
      <c r="AE196" s="294">
        <v>10.430999999999999</v>
      </c>
      <c r="AF196" s="294">
        <v>197</v>
      </c>
    </row>
    <row r="197" spans="24:32" ht="30">
      <c r="X197" s="294">
        <v>15</v>
      </c>
      <c r="Y197" s="294" t="s">
        <v>1127</v>
      </c>
      <c r="Z197" s="294" t="s">
        <v>1128</v>
      </c>
      <c r="AA197" s="294" t="s">
        <v>233</v>
      </c>
      <c r="AB197" s="294" t="s">
        <v>789</v>
      </c>
      <c r="AC197" s="294">
        <v>0</v>
      </c>
      <c r="AD197" s="296">
        <v>5.9930555555555563E-2</v>
      </c>
      <c r="AE197" s="294">
        <v>10.429</v>
      </c>
      <c r="AF197" s="294">
        <v>198</v>
      </c>
    </row>
    <row r="198" spans="24:32">
      <c r="X198" s="294">
        <v>118</v>
      </c>
      <c r="Y198" s="294" t="s">
        <v>780</v>
      </c>
      <c r="Z198" s="294" t="s">
        <v>784</v>
      </c>
      <c r="AA198" s="294" t="s">
        <v>233</v>
      </c>
      <c r="AB198" s="294" t="s">
        <v>789</v>
      </c>
      <c r="AC198" s="294" t="s">
        <v>1129</v>
      </c>
      <c r="AD198" s="296">
        <v>6.0185185185185182E-2</v>
      </c>
      <c r="AE198" s="294">
        <v>10.385</v>
      </c>
      <c r="AF198" s="294">
        <v>199</v>
      </c>
    </row>
    <row r="199" spans="24:32">
      <c r="X199" s="294">
        <v>214</v>
      </c>
      <c r="Y199" s="294" t="s">
        <v>1130</v>
      </c>
      <c r="Z199" s="294" t="s">
        <v>1040</v>
      </c>
      <c r="AA199" s="294" t="s">
        <v>233</v>
      </c>
      <c r="AB199" s="294" t="s">
        <v>826</v>
      </c>
      <c r="AC199" s="294" t="s">
        <v>974</v>
      </c>
      <c r="AD199" s="296">
        <v>6.0347222222222219E-2</v>
      </c>
      <c r="AE199" s="294">
        <v>10.356999999999999</v>
      </c>
      <c r="AF199" s="294">
        <v>200</v>
      </c>
    </row>
    <row r="200" spans="24:32">
      <c r="X200" s="294">
        <v>299</v>
      </c>
      <c r="Y200" s="294" t="s">
        <v>1131</v>
      </c>
      <c r="Z200" s="294" t="s">
        <v>919</v>
      </c>
      <c r="AA200" s="294" t="s">
        <v>233</v>
      </c>
      <c r="AB200" s="294" t="s">
        <v>826</v>
      </c>
      <c r="AC200" s="294" t="s">
        <v>1132</v>
      </c>
      <c r="AD200" s="296">
        <v>6.0428240740740741E-2</v>
      </c>
      <c r="AE200" s="294">
        <v>10.343</v>
      </c>
      <c r="AF200" s="294">
        <v>201</v>
      </c>
    </row>
    <row r="201" spans="24:32">
      <c r="X201" s="294">
        <v>39</v>
      </c>
      <c r="Y201" s="294" t="s">
        <v>1133</v>
      </c>
      <c r="Z201" s="294" t="s">
        <v>1134</v>
      </c>
      <c r="AA201" s="294" t="s">
        <v>896</v>
      </c>
      <c r="AB201" s="294" t="s">
        <v>789</v>
      </c>
      <c r="AC201" s="294" t="s">
        <v>950</v>
      </c>
      <c r="AD201" s="296">
        <v>6.0497685185185189E-2</v>
      </c>
      <c r="AE201" s="294">
        <v>10.331</v>
      </c>
      <c r="AF201" s="294">
        <v>202</v>
      </c>
    </row>
    <row r="202" spans="24:32" ht="30">
      <c r="X202" s="294">
        <v>112</v>
      </c>
      <c r="Y202" s="294" t="s">
        <v>1135</v>
      </c>
      <c r="Z202" s="294" t="s">
        <v>1136</v>
      </c>
      <c r="AA202" s="294" t="s">
        <v>896</v>
      </c>
      <c r="AB202" s="294" t="s">
        <v>789</v>
      </c>
      <c r="AC202" s="294">
        <v>0</v>
      </c>
      <c r="AD202" s="296">
        <v>6.0590277777777778E-2</v>
      </c>
      <c r="AE202" s="294">
        <v>10.315</v>
      </c>
      <c r="AF202" s="294">
        <v>203</v>
      </c>
    </row>
    <row r="203" spans="24:32">
      <c r="X203" s="294">
        <v>234</v>
      </c>
      <c r="Y203" s="294" t="s">
        <v>1137</v>
      </c>
      <c r="Z203" s="294" t="s">
        <v>964</v>
      </c>
      <c r="AA203" s="294" t="s">
        <v>233</v>
      </c>
      <c r="AB203" s="294" t="s">
        <v>789</v>
      </c>
      <c r="AC203" s="294">
        <v>0</v>
      </c>
      <c r="AD203" s="296">
        <v>6.06712962962963E-2</v>
      </c>
      <c r="AE203" s="294">
        <v>10.301</v>
      </c>
      <c r="AF203" s="294">
        <v>204</v>
      </c>
    </row>
    <row r="204" spans="24:32">
      <c r="X204" s="294">
        <v>90</v>
      </c>
      <c r="Y204" s="294" t="s">
        <v>1138</v>
      </c>
      <c r="Z204" s="294" t="s">
        <v>884</v>
      </c>
      <c r="AA204" s="294" t="s">
        <v>233</v>
      </c>
      <c r="AB204" s="294" t="s">
        <v>776</v>
      </c>
      <c r="AC204" s="294">
        <v>0</v>
      </c>
      <c r="AD204" s="296">
        <v>6.069444444444444E-2</v>
      </c>
      <c r="AE204" s="294">
        <v>10.297000000000001</v>
      </c>
      <c r="AF204" s="294">
        <v>205</v>
      </c>
    </row>
    <row r="205" spans="24:32">
      <c r="X205" s="294">
        <v>123</v>
      </c>
      <c r="Y205" s="294" t="s">
        <v>1139</v>
      </c>
      <c r="Z205" s="294" t="s">
        <v>990</v>
      </c>
      <c r="AA205" s="294" t="s">
        <v>233</v>
      </c>
      <c r="AB205" s="294" t="s">
        <v>789</v>
      </c>
      <c r="AC205" s="294">
        <v>0</v>
      </c>
      <c r="AD205" s="296">
        <v>6.0706018518518513E-2</v>
      </c>
      <c r="AE205" s="294">
        <v>10.295999999999999</v>
      </c>
      <c r="AF205" s="294">
        <v>206</v>
      </c>
    </row>
    <row r="206" spans="24:32" ht="30">
      <c r="X206" s="294">
        <v>30</v>
      </c>
      <c r="Y206" s="294" t="s">
        <v>1140</v>
      </c>
      <c r="Z206" s="294" t="s">
        <v>1141</v>
      </c>
      <c r="AA206" s="294" t="s">
        <v>233</v>
      </c>
      <c r="AB206" s="294" t="s">
        <v>838</v>
      </c>
      <c r="AC206" s="294" t="s">
        <v>790</v>
      </c>
      <c r="AD206" s="296">
        <v>6.0717592592592594E-2</v>
      </c>
      <c r="AE206" s="294">
        <v>10.294</v>
      </c>
      <c r="AF206" s="294">
        <v>207</v>
      </c>
    </row>
    <row r="207" spans="24:32" ht="45">
      <c r="X207" s="294">
        <v>137</v>
      </c>
      <c r="Y207" s="294" t="s">
        <v>1142</v>
      </c>
      <c r="Z207" s="294" t="s">
        <v>1143</v>
      </c>
      <c r="AA207" s="294" t="s">
        <v>896</v>
      </c>
      <c r="AB207" s="294" t="s">
        <v>826</v>
      </c>
      <c r="AC207" s="294" t="s">
        <v>969</v>
      </c>
      <c r="AD207" s="296">
        <v>6.0740740740740741E-2</v>
      </c>
      <c r="AE207" s="294">
        <v>10.29</v>
      </c>
      <c r="AF207" s="294">
        <v>208</v>
      </c>
    </row>
    <row r="208" spans="24:32">
      <c r="X208" s="294">
        <v>174</v>
      </c>
      <c r="Y208" s="294" t="s">
        <v>1144</v>
      </c>
      <c r="Z208" s="294" t="s">
        <v>984</v>
      </c>
      <c r="AA208" s="294" t="s">
        <v>233</v>
      </c>
      <c r="AB208" s="294" t="s">
        <v>789</v>
      </c>
      <c r="AC208" s="294">
        <v>0</v>
      </c>
      <c r="AD208" s="296">
        <v>6.0763888888888888E-2</v>
      </c>
      <c r="AE208" s="294">
        <v>10.286</v>
      </c>
      <c r="AF208" s="294">
        <v>209</v>
      </c>
    </row>
    <row r="209" spans="24:32">
      <c r="X209" s="294">
        <v>12</v>
      </c>
      <c r="Y209" s="294" t="s">
        <v>1145</v>
      </c>
      <c r="Z209" s="294" t="s">
        <v>984</v>
      </c>
      <c r="AA209" s="294" t="s">
        <v>233</v>
      </c>
      <c r="AB209" s="294" t="s">
        <v>789</v>
      </c>
      <c r="AC209" s="294">
        <v>0</v>
      </c>
      <c r="AD209" s="296">
        <v>6.0775462962962962E-2</v>
      </c>
      <c r="AE209" s="294">
        <v>10.284000000000001</v>
      </c>
      <c r="AF209" s="294">
        <v>210</v>
      </c>
    </row>
    <row r="210" spans="24:32" ht="30">
      <c r="X210" s="294">
        <v>84</v>
      </c>
      <c r="Y210" s="294" t="s">
        <v>1146</v>
      </c>
      <c r="Z210" s="294" t="s">
        <v>976</v>
      </c>
      <c r="AA210" s="294" t="s">
        <v>233</v>
      </c>
      <c r="AB210" s="294" t="s">
        <v>789</v>
      </c>
      <c r="AC210" s="294" t="s">
        <v>790</v>
      </c>
      <c r="AD210" s="296">
        <v>6.0798611111111116E-2</v>
      </c>
      <c r="AE210" s="294">
        <v>10.28</v>
      </c>
      <c r="AF210" s="294">
        <v>211</v>
      </c>
    </row>
    <row r="211" spans="24:32" ht="30">
      <c r="X211" s="294">
        <v>201</v>
      </c>
      <c r="Y211" s="294" t="s">
        <v>1147</v>
      </c>
      <c r="Z211" s="294" t="s">
        <v>1148</v>
      </c>
      <c r="AA211" s="294" t="s">
        <v>233</v>
      </c>
      <c r="AB211" s="294" t="s">
        <v>789</v>
      </c>
      <c r="AC211" s="294">
        <v>0</v>
      </c>
      <c r="AD211" s="296">
        <v>6.083333333333333E-2</v>
      </c>
      <c r="AE211" s="294">
        <v>10.273999999999999</v>
      </c>
      <c r="AF211" s="294">
        <v>212</v>
      </c>
    </row>
    <row r="212" spans="24:32" ht="45">
      <c r="X212" s="294">
        <v>55</v>
      </c>
      <c r="Y212" s="294" t="s">
        <v>1149</v>
      </c>
      <c r="Z212" s="294" t="s">
        <v>1150</v>
      </c>
      <c r="AA212" s="294" t="s">
        <v>233</v>
      </c>
      <c r="AB212" s="294" t="s">
        <v>1085</v>
      </c>
      <c r="AC212" s="294" t="s">
        <v>1151</v>
      </c>
      <c r="AD212" s="296">
        <v>6.0856481481481484E-2</v>
      </c>
      <c r="AE212" s="294">
        <v>10.27</v>
      </c>
      <c r="AF212" s="294">
        <v>213</v>
      </c>
    </row>
    <row r="213" spans="24:32">
      <c r="X213" s="294">
        <v>165</v>
      </c>
      <c r="Y213" s="294" t="s">
        <v>1130</v>
      </c>
      <c r="Z213" s="294" t="s">
        <v>1152</v>
      </c>
      <c r="AA213" s="294" t="s">
        <v>896</v>
      </c>
      <c r="AB213" s="294" t="s">
        <v>871</v>
      </c>
      <c r="AC213" s="294" t="s">
        <v>974</v>
      </c>
      <c r="AD213" s="296">
        <v>6.1053240740740734E-2</v>
      </c>
      <c r="AE213" s="294">
        <v>10.237</v>
      </c>
      <c r="AF213" s="294">
        <v>214</v>
      </c>
    </row>
    <row r="214" spans="24:32" ht="30">
      <c r="X214" s="294">
        <v>369</v>
      </c>
      <c r="Y214" s="294" t="s">
        <v>1153</v>
      </c>
      <c r="Z214" s="294" t="s">
        <v>1154</v>
      </c>
      <c r="AA214" s="294" t="s">
        <v>896</v>
      </c>
      <c r="AB214" s="294" t="s">
        <v>776</v>
      </c>
      <c r="AC214" s="294" t="s">
        <v>790</v>
      </c>
      <c r="AD214" s="296">
        <v>6.1134259259259256E-2</v>
      </c>
      <c r="AE214" s="294">
        <v>10.223000000000001</v>
      </c>
      <c r="AF214" s="294">
        <v>215</v>
      </c>
    </row>
    <row r="215" spans="24:32">
      <c r="X215" s="294">
        <v>70</v>
      </c>
      <c r="Y215" s="294" t="s">
        <v>1155</v>
      </c>
      <c r="Z215" s="294" t="s">
        <v>1156</v>
      </c>
      <c r="AA215" s="294" t="s">
        <v>233</v>
      </c>
      <c r="AB215" s="294" t="s">
        <v>789</v>
      </c>
      <c r="AC215" s="294" t="s">
        <v>877</v>
      </c>
      <c r="AD215" s="296">
        <v>6.1168981481481477E-2</v>
      </c>
      <c r="AE215" s="294">
        <v>10.218</v>
      </c>
      <c r="AF215" s="294">
        <v>216</v>
      </c>
    </row>
    <row r="216" spans="24:32">
      <c r="X216" s="294">
        <v>102</v>
      </c>
      <c r="Y216" s="294" t="s">
        <v>1157</v>
      </c>
      <c r="Z216" s="294" t="s">
        <v>932</v>
      </c>
      <c r="AA216" s="294" t="s">
        <v>233</v>
      </c>
      <c r="AB216" s="294" t="s">
        <v>776</v>
      </c>
      <c r="AC216" s="294" t="s">
        <v>1158</v>
      </c>
      <c r="AD216" s="296">
        <v>6.1203703703703705E-2</v>
      </c>
      <c r="AE216" s="294">
        <v>10.212</v>
      </c>
      <c r="AF216" s="294">
        <v>217</v>
      </c>
    </row>
    <row r="217" spans="24:32">
      <c r="X217" s="294">
        <v>469</v>
      </c>
      <c r="Y217" s="294" t="s">
        <v>1159</v>
      </c>
      <c r="Z217" s="294" t="s">
        <v>934</v>
      </c>
      <c r="AA217" s="294" t="s">
        <v>233</v>
      </c>
      <c r="AB217" s="294" t="s">
        <v>789</v>
      </c>
      <c r="AC217" s="294">
        <v>0</v>
      </c>
      <c r="AD217" s="296">
        <v>6.128472222222222E-2</v>
      </c>
      <c r="AE217" s="294">
        <v>10.198</v>
      </c>
      <c r="AF217" s="294">
        <v>218</v>
      </c>
    </row>
    <row r="218" spans="24:32" ht="30">
      <c r="X218" s="294">
        <v>317</v>
      </c>
      <c r="Y218" s="294" t="s">
        <v>1160</v>
      </c>
      <c r="Z218" s="294" t="s">
        <v>1161</v>
      </c>
      <c r="AA218" s="294" t="s">
        <v>233</v>
      </c>
      <c r="AB218" s="294" t="s">
        <v>838</v>
      </c>
      <c r="AC218" s="294" t="s">
        <v>815</v>
      </c>
      <c r="AD218" s="296">
        <v>6.1319444444444447E-2</v>
      </c>
      <c r="AE218" s="294">
        <v>10.193</v>
      </c>
      <c r="AF218" s="294">
        <v>219</v>
      </c>
    </row>
    <row r="219" spans="24:32">
      <c r="X219" s="294">
        <v>172</v>
      </c>
      <c r="Y219" s="294" t="s">
        <v>1133</v>
      </c>
      <c r="Z219" s="294" t="s">
        <v>1028</v>
      </c>
      <c r="AA219" s="294" t="s">
        <v>233</v>
      </c>
      <c r="AB219" s="294" t="s">
        <v>776</v>
      </c>
      <c r="AC219" s="294">
        <v>0</v>
      </c>
      <c r="AD219" s="296">
        <v>6.1365740740740742E-2</v>
      </c>
      <c r="AE219" s="294">
        <v>10.185</v>
      </c>
      <c r="AF219" s="294">
        <v>220</v>
      </c>
    </row>
    <row r="220" spans="24:32">
      <c r="X220" s="294">
        <v>258</v>
      </c>
      <c r="Y220" s="294" t="s">
        <v>1162</v>
      </c>
      <c r="Z220" s="294" t="s">
        <v>934</v>
      </c>
      <c r="AA220" s="294" t="s">
        <v>233</v>
      </c>
      <c r="AB220" s="294" t="s">
        <v>838</v>
      </c>
      <c r="AC220" s="294">
        <v>0</v>
      </c>
      <c r="AD220" s="296">
        <v>6.1458333333333337E-2</v>
      </c>
      <c r="AE220" s="294">
        <v>10.169</v>
      </c>
      <c r="AF220" s="294">
        <v>221</v>
      </c>
    </row>
    <row r="221" spans="24:32">
      <c r="X221" s="294">
        <v>114</v>
      </c>
      <c r="Y221" s="294" t="s">
        <v>1163</v>
      </c>
      <c r="Z221" s="294" t="s">
        <v>908</v>
      </c>
      <c r="AA221" s="294" t="s">
        <v>233</v>
      </c>
      <c r="AB221" s="294" t="s">
        <v>838</v>
      </c>
      <c r="AC221" s="294" t="s">
        <v>1164</v>
      </c>
      <c r="AD221" s="296">
        <v>6.1481481481481477E-2</v>
      </c>
      <c r="AE221" s="294">
        <v>10.166</v>
      </c>
      <c r="AF221" s="294">
        <v>222</v>
      </c>
    </row>
    <row r="222" spans="24:32" ht="45">
      <c r="X222" s="294">
        <v>457</v>
      </c>
      <c r="Y222" s="294" t="s">
        <v>1165</v>
      </c>
      <c r="Z222" s="294" t="s">
        <v>1166</v>
      </c>
      <c r="AA222" s="294" t="s">
        <v>896</v>
      </c>
      <c r="AB222" s="294" t="s">
        <v>880</v>
      </c>
      <c r="AC222" s="294" t="s">
        <v>917</v>
      </c>
      <c r="AD222" s="296">
        <v>6.1504629629629631E-2</v>
      </c>
      <c r="AE222" s="294">
        <v>10.162000000000001</v>
      </c>
      <c r="AF222" s="294">
        <v>223</v>
      </c>
    </row>
    <row r="223" spans="24:32" ht="30">
      <c r="X223" s="294">
        <v>322</v>
      </c>
      <c r="Y223" s="294" t="s">
        <v>1167</v>
      </c>
      <c r="Z223" s="294" t="s">
        <v>1168</v>
      </c>
      <c r="AA223" s="294" t="s">
        <v>233</v>
      </c>
      <c r="AB223" s="294" t="s">
        <v>776</v>
      </c>
      <c r="AC223" s="294">
        <v>0</v>
      </c>
      <c r="AD223" s="296">
        <v>6.1527777777777772E-2</v>
      </c>
      <c r="AE223" s="294">
        <v>10.157999999999999</v>
      </c>
      <c r="AF223" s="294">
        <v>224</v>
      </c>
    </row>
    <row r="224" spans="24:32">
      <c r="X224" s="294">
        <v>334</v>
      </c>
      <c r="Y224" s="294" t="s">
        <v>1169</v>
      </c>
      <c r="Z224" s="294" t="s">
        <v>884</v>
      </c>
      <c r="AA224" s="294" t="s">
        <v>233</v>
      </c>
      <c r="AB224" s="294" t="s">
        <v>838</v>
      </c>
      <c r="AC224" s="294">
        <v>0</v>
      </c>
      <c r="AD224" s="296">
        <v>6.159722222222222E-2</v>
      </c>
      <c r="AE224" s="294">
        <v>10.147</v>
      </c>
      <c r="AF224" s="294">
        <v>225</v>
      </c>
    </row>
    <row r="225" spans="24:32" ht="60">
      <c r="X225" s="294">
        <v>60</v>
      </c>
      <c r="Y225" s="294" t="s">
        <v>1170</v>
      </c>
      <c r="Z225" s="294" t="s">
        <v>843</v>
      </c>
      <c r="AA225" s="294" t="s">
        <v>233</v>
      </c>
      <c r="AB225" s="294" t="s">
        <v>838</v>
      </c>
      <c r="AC225" s="294" t="s">
        <v>1171</v>
      </c>
      <c r="AD225" s="296">
        <v>6.1608796296296293E-2</v>
      </c>
      <c r="AE225" s="294">
        <v>10.145</v>
      </c>
      <c r="AF225" s="294">
        <v>226</v>
      </c>
    </row>
    <row r="226" spans="24:32">
      <c r="X226" s="294">
        <v>324</v>
      </c>
      <c r="Y226" s="294" t="s">
        <v>1172</v>
      </c>
      <c r="Z226" s="294" t="s">
        <v>1173</v>
      </c>
      <c r="AA226" s="294" t="s">
        <v>896</v>
      </c>
      <c r="AB226" s="294" t="s">
        <v>776</v>
      </c>
      <c r="AC226" s="294" t="s">
        <v>974</v>
      </c>
      <c r="AD226" s="296">
        <v>6.1666666666666668E-2</v>
      </c>
      <c r="AE226" s="294">
        <v>10.135</v>
      </c>
      <c r="AF226" s="294">
        <v>227</v>
      </c>
    </row>
    <row r="227" spans="24:32" ht="30">
      <c r="X227" s="294">
        <v>67</v>
      </c>
      <c r="Y227" s="294" t="s">
        <v>1174</v>
      </c>
      <c r="Z227" s="294" t="s">
        <v>1128</v>
      </c>
      <c r="AA227" s="294" t="s">
        <v>233</v>
      </c>
      <c r="AB227" s="294" t="s">
        <v>789</v>
      </c>
      <c r="AC227" s="294" t="s">
        <v>937</v>
      </c>
      <c r="AD227" s="296">
        <v>6.1701388888888896E-2</v>
      </c>
      <c r="AE227" s="294">
        <v>10.129</v>
      </c>
      <c r="AF227" s="294">
        <v>228</v>
      </c>
    </row>
    <row r="228" spans="24:32">
      <c r="X228" s="294">
        <v>14</v>
      </c>
      <c r="Y228" s="294" t="s">
        <v>1175</v>
      </c>
      <c r="Z228" s="294" t="s">
        <v>809</v>
      </c>
      <c r="AA228" s="294" t="s">
        <v>233</v>
      </c>
      <c r="AB228" s="294" t="s">
        <v>789</v>
      </c>
      <c r="AC228" s="294">
        <v>0</v>
      </c>
      <c r="AD228" s="296">
        <v>6.1712962962962963E-2</v>
      </c>
      <c r="AE228" s="294">
        <v>10.128</v>
      </c>
      <c r="AF228" s="294">
        <v>229</v>
      </c>
    </row>
    <row r="229" spans="24:32">
      <c r="X229" s="294">
        <v>32</v>
      </c>
      <c r="Y229" s="294" t="s">
        <v>1176</v>
      </c>
      <c r="Z229" s="294" t="s">
        <v>1059</v>
      </c>
      <c r="AA229" s="294" t="s">
        <v>233</v>
      </c>
      <c r="AB229" s="294" t="s">
        <v>789</v>
      </c>
      <c r="AC229" s="294">
        <v>0</v>
      </c>
      <c r="AD229" s="296">
        <v>6.1759259259259257E-2</v>
      </c>
      <c r="AE229" s="294">
        <v>10.119999999999999</v>
      </c>
      <c r="AF229" s="294">
        <v>230</v>
      </c>
    </row>
    <row r="230" spans="24:32">
      <c r="X230" s="294">
        <v>230</v>
      </c>
      <c r="Y230" s="294" t="s">
        <v>1177</v>
      </c>
      <c r="Z230" s="294" t="s">
        <v>891</v>
      </c>
      <c r="AA230" s="294" t="s">
        <v>233</v>
      </c>
      <c r="AB230" s="294" t="s">
        <v>776</v>
      </c>
      <c r="AC230" s="294">
        <v>0</v>
      </c>
      <c r="AD230" s="296">
        <v>6.1782407407407404E-2</v>
      </c>
      <c r="AE230" s="294">
        <v>10.116</v>
      </c>
      <c r="AF230" s="294">
        <v>231</v>
      </c>
    </row>
    <row r="231" spans="24:32" ht="45">
      <c r="X231" s="294">
        <v>473</v>
      </c>
      <c r="Y231" s="294" t="s">
        <v>1178</v>
      </c>
      <c r="Z231" s="294" t="s">
        <v>934</v>
      </c>
      <c r="AA231" s="294" t="s">
        <v>233</v>
      </c>
      <c r="AB231" s="294" t="s">
        <v>789</v>
      </c>
      <c r="AC231" s="294" t="s">
        <v>917</v>
      </c>
      <c r="AD231" s="296">
        <v>6.1828703703703712E-2</v>
      </c>
      <c r="AE231" s="294">
        <v>10.109</v>
      </c>
      <c r="AF231" s="294">
        <v>232</v>
      </c>
    </row>
    <row r="232" spans="24:32" ht="30">
      <c r="X232" s="294">
        <v>332</v>
      </c>
      <c r="Y232" s="294" t="s">
        <v>1179</v>
      </c>
      <c r="Z232" s="294" t="s">
        <v>804</v>
      </c>
      <c r="AA232" s="294" t="s">
        <v>233</v>
      </c>
      <c r="AB232" s="294" t="s">
        <v>776</v>
      </c>
      <c r="AC232" s="294" t="s">
        <v>1180</v>
      </c>
      <c r="AD232" s="296">
        <v>6.206018518518519E-2</v>
      </c>
      <c r="AE232" s="294">
        <v>10.071</v>
      </c>
      <c r="AF232" s="294">
        <v>233</v>
      </c>
    </row>
    <row r="233" spans="24:32" ht="30">
      <c r="X233" s="294">
        <v>59</v>
      </c>
      <c r="Y233" s="294" t="s">
        <v>1181</v>
      </c>
      <c r="Z233" s="294" t="s">
        <v>843</v>
      </c>
      <c r="AA233" s="294" t="s">
        <v>233</v>
      </c>
      <c r="AB233" s="294" t="s">
        <v>789</v>
      </c>
      <c r="AC233" s="294">
        <v>0</v>
      </c>
      <c r="AD233" s="296">
        <v>6.2118055555555551E-2</v>
      </c>
      <c r="AE233" s="294">
        <v>10.061</v>
      </c>
      <c r="AF233" s="294">
        <v>234</v>
      </c>
    </row>
    <row r="234" spans="24:32">
      <c r="X234" s="294">
        <v>352</v>
      </c>
      <c r="Y234" s="294" t="s">
        <v>1182</v>
      </c>
      <c r="Z234" s="294" t="s">
        <v>809</v>
      </c>
      <c r="AA234" s="294" t="s">
        <v>233</v>
      </c>
      <c r="AB234" s="294" t="s">
        <v>838</v>
      </c>
      <c r="AC234" s="294" t="s">
        <v>912</v>
      </c>
      <c r="AD234" s="296">
        <v>6.2141203703703705E-2</v>
      </c>
      <c r="AE234" s="294">
        <v>10.058</v>
      </c>
      <c r="AF234" s="294">
        <v>235</v>
      </c>
    </row>
    <row r="235" spans="24:32">
      <c r="X235" s="294">
        <v>295</v>
      </c>
      <c r="Y235" s="294" t="s">
        <v>1183</v>
      </c>
      <c r="Z235" s="294" t="s">
        <v>1184</v>
      </c>
      <c r="AA235" s="294" t="s">
        <v>233</v>
      </c>
      <c r="AB235" s="294" t="s">
        <v>1085</v>
      </c>
      <c r="AC235" s="294" t="s">
        <v>1185</v>
      </c>
      <c r="AD235" s="296">
        <v>6.2199074074074073E-2</v>
      </c>
      <c r="AE235" s="294">
        <v>10.048</v>
      </c>
      <c r="AF235" s="294">
        <v>236</v>
      </c>
    </row>
    <row r="236" spans="24:32">
      <c r="X236" s="294">
        <v>129</v>
      </c>
      <c r="Y236" s="294" t="s">
        <v>1186</v>
      </c>
      <c r="Z236" s="294" t="s">
        <v>1187</v>
      </c>
      <c r="AA236" s="294" t="s">
        <v>233</v>
      </c>
      <c r="AB236" s="294" t="s">
        <v>776</v>
      </c>
      <c r="AC236" s="294">
        <v>0</v>
      </c>
      <c r="AD236" s="296">
        <v>6.2222222222222227E-2</v>
      </c>
      <c r="AE236" s="294">
        <v>10.045</v>
      </c>
      <c r="AF236" s="294">
        <v>237</v>
      </c>
    </row>
    <row r="237" spans="24:32" ht="30">
      <c r="X237" s="294">
        <v>298</v>
      </c>
      <c r="Y237" s="294" t="s">
        <v>1188</v>
      </c>
      <c r="Z237" s="294" t="s">
        <v>996</v>
      </c>
      <c r="AA237" s="294" t="s">
        <v>233</v>
      </c>
      <c r="AB237" s="294" t="s">
        <v>880</v>
      </c>
      <c r="AC237" s="294" t="s">
        <v>1189</v>
      </c>
      <c r="AD237" s="296">
        <v>6.2245370370370368E-2</v>
      </c>
      <c r="AE237" s="294">
        <v>10.041</v>
      </c>
      <c r="AF237" s="294">
        <v>238</v>
      </c>
    </row>
    <row r="238" spans="24:32">
      <c r="X238" s="294">
        <v>20</v>
      </c>
      <c r="Y238" s="294" t="s">
        <v>1190</v>
      </c>
      <c r="Z238" s="294" t="s">
        <v>904</v>
      </c>
      <c r="AA238" s="294" t="s">
        <v>233</v>
      </c>
      <c r="AB238" s="294" t="s">
        <v>776</v>
      </c>
      <c r="AC238" s="294" t="s">
        <v>1016</v>
      </c>
      <c r="AD238" s="296">
        <v>6.2256944444444441E-2</v>
      </c>
      <c r="AE238" s="294">
        <v>10.039</v>
      </c>
      <c r="AF238" s="294">
        <v>239</v>
      </c>
    </row>
    <row r="239" spans="24:32" ht="30">
      <c r="X239" s="294">
        <v>128</v>
      </c>
      <c r="Y239" s="294" t="s">
        <v>1191</v>
      </c>
      <c r="Z239" s="294" t="s">
        <v>1192</v>
      </c>
      <c r="AA239" s="294" t="s">
        <v>233</v>
      </c>
      <c r="AB239" s="294" t="s">
        <v>789</v>
      </c>
      <c r="AC239" s="294">
        <v>0</v>
      </c>
      <c r="AD239" s="296">
        <v>6.2523148148148147E-2</v>
      </c>
      <c r="AE239" s="294">
        <v>9.9960000000000004</v>
      </c>
      <c r="AF239" s="294">
        <v>240</v>
      </c>
    </row>
    <row r="240" spans="24:32" ht="30">
      <c r="X240" s="294">
        <v>487</v>
      </c>
      <c r="Y240" s="294" t="s">
        <v>1193</v>
      </c>
      <c r="Z240" s="294" t="s">
        <v>954</v>
      </c>
      <c r="AA240" s="294" t="s">
        <v>233</v>
      </c>
      <c r="AB240" s="294" t="s">
        <v>838</v>
      </c>
      <c r="AC240" s="294" t="s">
        <v>1074</v>
      </c>
      <c r="AD240" s="296">
        <v>6.2592592592592589E-2</v>
      </c>
      <c r="AE240" s="294">
        <v>9.9849999999999994</v>
      </c>
      <c r="AF240" s="294">
        <v>241</v>
      </c>
    </row>
    <row r="241" spans="24:32" ht="30">
      <c r="X241" s="294">
        <v>228</v>
      </c>
      <c r="Y241" s="294" t="s">
        <v>1194</v>
      </c>
      <c r="Z241" s="294" t="s">
        <v>976</v>
      </c>
      <c r="AA241" s="294" t="s">
        <v>233</v>
      </c>
      <c r="AB241" s="294" t="s">
        <v>789</v>
      </c>
      <c r="AC241" s="294">
        <v>0</v>
      </c>
      <c r="AD241" s="296">
        <v>6.2650462962962963E-2</v>
      </c>
      <c r="AE241" s="294">
        <v>9.9760000000000009</v>
      </c>
      <c r="AF241" s="294">
        <v>242</v>
      </c>
    </row>
    <row r="242" spans="24:32">
      <c r="X242" s="294">
        <v>134</v>
      </c>
      <c r="Y242" s="294" t="s">
        <v>1033</v>
      </c>
      <c r="Z242" s="294" t="s">
        <v>1037</v>
      </c>
      <c r="AA242" s="294" t="s">
        <v>233</v>
      </c>
      <c r="AB242" s="294" t="s">
        <v>789</v>
      </c>
      <c r="AC242" s="294">
        <v>0</v>
      </c>
      <c r="AD242" s="296">
        <v>6.2766203703703713E-2</v>
      </c>
      <c r="AE242" s="294">
        <v>9.9580000000000002</v>
      </c>
      <c r="AF242" s="294">
        <v>243</v>
      </c>
    </row>
    <row r="243" spans="24:32">
      <c r="X243" s="294">
        <v>87</v>
      </c>
      <c r="Y243" s="294" t="s">
        <v>229</v>
      </c>
      <c r="Z243" s="294" t="s">
        <v>231</v>
      </c>
      <c r="AA243" s="294" t="s">
        <v>233</v>
      </c>
      <c r="AB243" s="294" t="s">
        <v>789</v>
      </c>
      <c r="AC243" s="294">
        <v>0</v>
      </c>
      <c r="AD243" s="296">
        <v>6.2800925925925927E-2</v>
      </c>
      <c r="AE243" s="294">
        <v>9.952</v>
      </c>
      <c r="AF243" s="294">
        <v>244</v>
      </c>
    </row>
    <row r="244" spans="24:32" ht="30">
      <c r="X244" s="294">
        <v>75</v>
      </c>
      <c r="Y244" s="294" t="s">
        <v>1195</v>
      </c>
      <c r="Z244" s="294" t="s">
        <v>976</v>
      </c>
      <c r="AA244" s="294" t="s">
        <v>233</v>
      </c>
      <c r="AB244" s="294" t="s">
        <v>789</v>
      </c>
      <c r="AC244" s="294">
        <v>0</v>
      </c>
      <c r="AD244" s="296">
        <v>6.283564814814814E-2</v>
      </c>
      <c r="AE244" s="294">
        <v>9.9469999999999992</v>
      </c>
      <c r="AF244" s="294">
        <v>245</v>
      </c>
    </row>
    <row r="245" spans="24:32" ht="60">
      <c r="X245" s="294">
        <v>147</v>
      </c>
      <c r="Y245" s="294" t="s">
        <v>1196</v>
      </c>
      <c r="Z245" s="294" t="s">
        <v>976</v>
      </c>
      <c r="AA245" s="294" t="s">
        <v>233</v>
      </c>
      <c r="AB245" s="294" t="s">
        <v>789</v>
      </c>
      <c r="AC245" s="294" t="s">
        <v>1171</v>
      </c>
      <c r="AD245" s="296">
        <v>6.2870370370370368E-2</v>
      </c>
      <c r="AE245" s="294">
        <v>9.9410000000000007</v>
      </c>
      <c r="AF245" s="294">
        <v>246</v>
      </c>
    </row>
    <row r="246" spans="24:32">
      <c r="X246" s="294">
        <v>170</v>
      </c>
      <c r="Y246" s="294" t="s">
        <v>1197</v>
      </c>
      <c r="Z246" s="294" t="s">
        <v>793</v>
      </c>
      <c r="AA246" s="294" t="s">
        <v>233</v>
      </c>
      <c r="AB246" s="294" t="s">
        <v>789</v>
      </c>
      <c r="AC246" s="294">
        <v>0</v>
      </c>
      <c r="AD246" s="296">
        <v>6.2962962962962957E-2</v>
      </c>
      <c r="AE246" s="294">
        <v>9.9260000000000002</v>
      </c>
      <c r="AF246" s="294">
        <v>247</v>
      </c>
    </row>
    <row r="247" spans="24:32" ht="30">
      <c r="X247" s="294">
        <v>183</v>
      </c>
      <c r="Y247" s="294" t="s">
        <v>1198</v>
      </c>
      <c r="Z247" s="294" t="s">
        <v>843</v>
      </c>
      <c r="AA247" s="294" t="s">
        <v>233</v>
      </c>
      <c r="AB247" s="294" t="s">
        <v>838</v>
      </c>
      <c r="AC247" s="294">
        <v>0</v>
      </c>
      <c r="AD247" s="296">
        <v>6.2986111111111118E-2</v>
      </c>
      <c r="AE247" s="294">
        <v>9.923</v>
      </c>
      <c r="AF247" s="294">
        <v>248</v>
      </c>
    </row>
    <row r="248" spans="24:32">
      <c r="X248" s="294">
        <v>105</v>
      </c>
      <c r="Y248" s="294" t="s">
        <v>1199</v>
      </c>
      <c r="Z248" s="294" t="s">
        <v>851</v>
      </c>
      <c r="AA248" s="294" t="s">
        <v>233</v>
      </c>
      <c r="AB248" s="294" t="s">
        <v>776</v>
      </c>
      <c r="AC248" s="294" t="s">
        <v>1164</v>
      </c>
      <c r="AD248" s="296">
        <v>6.3009259259259265E-2</v>
      </c>
      <c r="AE248" s="294">
        <v>9.9190000000000005</v>
      </c>
      <c r="AF248" s="294">
        <v>249</v>
      </c>
    </row>
    <row r="249" spans="24:32" ht="30">
      <c r="X249" s="294">
        <v>127</v>
      </c>
      <c r="Y249" s="294" t="s">
        <v>1200</v>
      </c>
      <c r="Z249" s="294" t="s">
        <v>960</v>
      </c>
      <c r="AA249" s="294" t="s">
        <v>233</v>
      </c>
      <c r="AB249" s="294" t="s">
        <v>789</v>
      </c>
      <c r="AC249" s="294" t="s">
        <v>790</v>
      </c>
      <c r="AD249" s="296">
        <v>6.3055555555555545E-2</v>
      </c>
      <c r="AE249" s="294">
        <v>9.9120000000000008</v>
      </c>
      <c r="AF249" s="294">
        <v>250</v>
      </c>
    </row>
    <row r="250" spans="24:32" ht="30">
      <c r="X250" s="294">
        <v>68</v>
      </c>
      <c r="Y250" s="294" t="s">
        <v>1201</v>
      </c>
      <c r="Z250" s="294" t="s">
        <v>868</v>
      </c>
      <c r="AA250" s="294" t="s">
        <v>233</v>
      </c>
      <c r="AB250" s="294" t="s">
        <v>1085</v>
      </c>
      <c r="AC250" s="294" t="s">
        <v>937</v>
      </c>
      <c r="AD250" s="296">
        <v>6.3125000000000001E-2</v>
      </c>
      <c r="AE250" s="294">
        <v>9.9009999999999998</v>
      </c>
      <c r="AF250" s="294">
        <v>251</v>
      </c>
    </row>
    <row r="251" spans="24:32">
      <c r="X251" s="294">
        <v>403</v>
      </c>
      <c r="Y251" s="294" t="s">
        <v>1202</v>
      </c>
      <c r="Z251" s="294" t="s">
        <v>1020</v>
      </c>
      <c r="AA251" s="294" t="s">
        <v>233</v>
      </c>
      <c r="AB251" s="294" t="s">
        <v>776</v>
      </c>
      <c r="AC251" s="294" t="s">
        <v>885</v>
      </c>
      <c r="AD251" s="296">
        <v>6.3159722222222228E-2</v>
      </c>
      <c r="AE251" s="294">
        <v>9.8960000000000008</v>
      </c>
      <c r="AF251" s="294">
        <v>252</v>
      </c>
    </row>
    <row r="252" spans="24:32">
      <c r="X252" s="294">
        <v>411</v>
      </c>
      <c r="Y252" s="294" t="s">
        <v>1203</v>
      </c>
      <c r="Z252" s="294" t="s">
        <v>825</v>
      </c>
      <c r="AA252" s="294" t="s">
        <v>233</v>
      </c>
      <c r="AB252" s="294" t="s">
        <v>776</v>
      </c>
      <c r="AC252" s="294">
        <v>0</v>
      </c>
      <c r="AD252" s="296">
        <v>6.3263888888888883E-2</v>
      </c>
      <c r="AE252" s="294">
        <v>9.8789999999999996</v>
      </c>
      <c r="AF252" s="294">
        <v>253</v>
      </c>
    </row>
    <row r="253" spans="24:32" ht="30">
      <c r="X253" s="294">
        <v>251</v>
      </c>
      <c r="Y253" s="294" t="s">
        <v>1204</v>
      </c>
      <c r="Z253" s="294" t="s">
        <v>1205</v>
      </c>
      <c r="AA253" s="294" t="s">
        <v>896</v>
      </c>
      <c r="AB253" s="294" t="s">
        <v>789</v>
      </c>
      <c r="AC253" s="294" t="s">
        <v>1206</v>
      </c>
      <c r="AD253" s="296">
        <v>6.3298611111111111E-2</v>
      </c>
      <c r="AE253" s="294">
        <v>9.8740000000000006</v>
      </c>
      <c r="AF253" s="294">
        <v>254</v>
      </c>
    </row>
    <row r="254" spans="24:32" ht="30">
      <c r="X254" s="294">
        <v>272</v>
      </c>
      <c r="Y254" s="294" t="s">
        <v>1207</v>
      </c>
      <c r="Z254" s="294" t="s">
        <v>809</v>
      </c>
      <c r="AA254" s="294" t="s">
        <v>233</v>
      </c>
      <c r="AB254" s="294" t="s">
        <v>789</v>
      </c>
      <c r="AC254" s="294" t="s">
        <v>864</v>
      </c>
      <c r="AD254" s="296">
        <v>6.3333333333333339E-2</v>
      </c>
      <c r="AE254" s="294">
        <v>9.8680000000000003</v>
      </c>
      <c r="AF254" s="294">
        <v>255</v>
      </c>
    </row>
    <row r="255" spans="24:32">
      <c r="X255" s="294">
        <v>453</v>
      </c>
      <c r="Y255" s="294" t="s">
        <v>1208</v>
      </c>
      <c r="Z255" s="294" t="s">
        <v>984</v>
      </c>
      <c r="AA255" s="294" t="s">
        <v>233</v>
      </c>
      <c r="AB255" s="294" t="s">
        <v>776</v>
      </c>
      <c r="AC255" s="294">
        <v>0</v>
      </c>
      <c r="AD255" s="296">
        <v>6.3356481481481486E-2</v>
      </c>
      <c r="AE255" s="294">
        <v>9.8650000000000002</v>
      </c>
      <c r="AF255" s="294">
        <v>256</v>
      </c>
    </row>
    <row r="256" spans="24:32" ht="60">
      <c r="X256" s="294">
        <v>18</v>
      </c>
      <c r="Y256" s="294" t="s">
        <v>1209</v>
      </c>
      <c r="Z256" s="294" t="s">
        <v>908</v>
      </c>
      <c r="AA256" s="294" t="s">
        <v>233</v>
      </c>
      <c r="AB256" s="294" t="s">
        <v>789</v>
      </c>
      <c r="AC256" s="294" t="s">
        <v>1171</v>
      </c>
      <c r="AD256" s="296">
        <v>6.3460648148148155E-2</v>
      </c>
      <c r="AE256" s="294">
        <v>9.8490000000000002</v>
      </c>
      <c r="AF256" s="294">
        <v>257</v>
      </c>
    </row>
    <row r="257" spans="24:32">
      <c r="X257" s="294">
        <v>426</v>
      </c>
      <c r="Y257" s="294" t="s">
        <v>1210</v>
      </c>
      <c r="Z257" s="294" t="s">
        <v>1211</v>
      </c>
      <c r="AA257" s="294" t="s">
        <v>233</v>
      </c>
      <c r="AB257" s="294" t="s">
        <v>776</v>
      </c>
      <c r="AC257" s="294">
        <v>0</v>
      </c>
      <c r="AD257" s="296">
        <v>6.3541666666666663E-2</v>
      </c>
      <c r="AE257" s="294">
        <v>9.8360000000000003</v>
      </c>
      <c r="AF257" s="294">
        <v>258</v>
      </c>
    </row>
    <row r="258" spans="24:32">
      <c r="X258" s="294">
        <v>446</v>
      </c>
      <c r="Y258" s="294" t="s">
        <v>1212</v>
      </c>
      <c r="Z258" s="294" t="s">
        <v>1036</v>
      </c>
      <c r="AA258" s="294" t="s">
        <v>233</v>
      </c>
      <c r="AB258" s="294" t="s">
        <v>838</v>
      </c>
      <c r="AC258" s="294" t="s">
        <v>1213</v>
      </c>
      <c r="AD258" s="296">
        <v>6.3576388888888891E-2</v>
      </c>
      <c r="AE258" s="294">
        <v>9.8309999999999995</v>
      </c>
      <c r="AF258" s="294">
        <v>259</v>
      </c>
    </row>
    <row r="259" spans="24:32" ht="30">
      <c r="X259" s="294">
        <v>168</v>
      </c>
      <c r="Y259" s="294" t="s">
        <v>1214</v>
      </c>
      <c r="Z259" s="294" t="s">
        <v>1215</v>
      </c>
      <c r="AA259" s="294" t="s">
        <v>896</v>
      </c>
      <c r="AB259" s="294" t="s">
        <v>776</v>
      </c>
      <c r="AC259" s="294" t="s">
        <v>937</v>
      </c>
      <c r="AD259" s="296">
        <v>6.3645833333333332E-2</v>
      </c>
      <c r="AE259" s="294">
        <v>9.82</v>
      </c>
      <c r="AF259" s="294">
        <v>260</v>
      </c>
    </row>
    <row r="260" spans="24:32" ht="30">
      <c r="X260" s="294">
        <v>167</v>
      </c>
      <c r="Y260" s="294" t="s">
        <v>1216</v>
      </c>
      <c r="Z260" s="294" t="s">
        <v>976</v>
      </c>
      <c r="AA260" s="294" t="s">
        <v>233</v>
      </c>
      <c r="AB260" s="294" t="s">
        <v>789</v>
      </c>
      <c r="AC260" s="294" t="s">
        <v>937</v>
      </c>
      <c r="AD260" s="296">
        <v>6.368055555555556E-2</v>
      </c>
      <c r="AE260" s="294">
        <v>9.8149999999999995</v>
      </c>
      <c r="AF260" s="294">
        <v>261</v>
      </c>
    </row>
    <row r="261" spans="24:32" ht="30">
      <c r="X261" s="294">
        <v>133</v>
      </c>
      <c r="Y261" s="294" t="s">
        <v>1217</v>
      </c>
      <c r="Z261" s="294" t="s">
        <v>1218</v>
      </c>
      <c r="AA261" s="294" t="s">
        <v>896</v>
      </c>
      <c r="AB261" s="294" t="s">
        <v>789</v>
      </c>
      <c r="AC261" s="294">
        <v>0</v>
      </c>
      <c r="AD261" s="296">
        <v>6.3773148148148148E-2</v>
      </c>
      <c r="AE261" s="294">
        <v>9.8000000000000007</v>
      </c>
      <c r="AF261" s="294">
        <v>262</v>
      </c>
    </row>
    <row r="262" spans="24:32" ht="30">
      <c r="X262" s="294">
        <v>250</v>
      </c>
      <c r="Y262" s="294" t="s">
        <v>1219</v>
      </c>
      <c r="Z262" s="294" t="s">
        <v>1037</v>
      </c>
      <c r="AA262" s="294" t="s">
        <v>233</v>
      </c>
      <c r="AB262" s="294" t="s">
        <v>789</v>
      </c>
      <c r="AC262" s="294" t="s">
        <v>790</v>
      </c>
      <c r="AD262" s="296">
        <v>6.3796296296296295E-2</v>
      </c>
      <c r="AE262" s="294">
        <v>9.7970000000000006</v>
      </c>
      <c r="AF262" s="294">
        <v>263</v>
      </c>
    </row>
    <row r="263" spans="24:32" ht="30">
      <c r="X263" s="294">
        <v>96</v>
      </c>
      <c r="Y263" s="294" t="s">
        <v>929</v>
      </c>
      <c r="Z263" s="294" t="s">
        <v>923</v>
      </c>
      <c r="AA263" s="294" t="s">
        <v>233</v>
      </c>
      <c r="AB263" s="294" t="s">
        <v>826</v>
      </c>
      <c r="AC263" s="294" t="s">
        <v>1018</v>
      </c>
      <c r="AD263" s="296">
        <v>6.3831018518518523E-2</v>
      </c>
      <c r="AE263" s="294">
        <v>9.7910000000000004</v>
      </c>
      <c r="AF263" s="294">
        <v>264</v>
      </c>
    </row>
    <row r="264" spans="24:32">
      <c r="X264" s="294">
        <v>484</v>
      </c>
      <c r="Y264" s="294" t="s">
        <v>1220</v>
      </c>
      <c r="Z264" s="294" t="s">
        <v>1014</v>
      </c>
      <c r="AA264" s="294" t="s">
        <v>233</v>
      </c>
      <c r="AB264" s="294" t="s">
        <v>789</v>
      </c>
      <c r="AC264" s="294" t="s">
        <v>1221</v>
      </c>
      <c r="AD264" s="296">
        <v>6.385416666666667E-2</v>
      </c>
      <c r="AE264" s="294">
        <v>9.7880000000000003</v>
      </c>
      <c r="AF264" s="294">
        <v>265</v>
      </c>
    </row>
    <row r="265" spans="24:32" ht="30">
      <c r="X265" s="294">
        <v>464</v>
      </c>
      <c r="Y265" s="294" t="s">
        <v>1222</v>
      </c>
      <c r="Z265" s="294" t="s">
        <v>1223</v>
      </c>
      <c r="AA265" s="294" t="s">
        <v>233</v>
      </c>
      <c r="AB265" s="294" t="s">
        <v>838</v>
      </c>
      <c r="AC265" s="294">
        <v>0</v>
      </c>
      <c r="AD265" s="296">
        <v>6.3969907407407406E-2</v>
      </c>
      <c r="AE265" s="294">
        <v>9.77</v>
      </c>
      <c r="AF265" s="294">
        <v>266</v>
      </c>
    </row>
    <row r="266" spans="24:32">
      <c r="X266" s="294">
        <v>267</v>
      </c>
      <c r="Y266" s="294" t="s">
        <v>1224</v>
      </c>
      <c r="Z266" s="294" t="s">
        <v>964</v>
      </c>
      <c r="AA266" s="294" t="s">
        <v>233</v>
      </c>
      <c r="AB266" s="294" t="s">
        <v>838</v>
      </c>
      <c r="AC266" s="294">
        <v>0</v>
      </c>
      <c r="AD266" s="296">
        <v>6.4027777777777781E-2</v>
      </c>
      <c r="AE266" s="294">
        <v>9.7609999999999992</v>
      </c>
      <c r="AF266" s="294">
        <v>267</v>
      </c>
    </row>
    <row r="267" spans="24:32" ht="30">
      <c r="X267" s="294">
        <v>245</v>
      </c>
      <c r="Y267" s="294" t="s">
        <v>1225</v>
      </c>
      <c r="Z267" s="294" t="s">
        <v>1226</v>
      </c>
      <c r="AA267" s="294" t="s">
        <v>896</v>
      </c>
      <c r="AB267" s="294" t="s">
        <v>789</v>
      </c>
      <c r="AC267" s="294" t="s">
        <v>955</v>
      </c>
      <c r="AD267" s="296">
        <v>6.4143518518518516E-2</v>
      </c>
      <c r="AE267" s="294">
        <v>9.7439999999999998</v>
      </c>
      <c r="AF267" s="294">
        <v>268</v>
      </c>
    </row>
    <row r="268" spans="24:32" ht="30">
      <c r="X268" s="294">
        <v>422</v>
      </c>
      <c r="Y268" s="294" t="s">
        <v>1227</v>
      </c>
      <c r="Z268" s="294" t="s">
        <v>996</v>
      </c>
      <c r="AA268" s="294" t="s">
        <v>233</v>
      </c>
      <c r="AB268" s="294" t="s">
        <v>776</v>
      </c>
      <c r="AC268" s="294">
        <v>0</v>
      </c>
      <c r="AD268" s="296">
        <v>6.4224537037037038E-2</v>
      </c>
      <c r="AE268" s="294">
        <v>9.7309999999999999</v>
      </c>
      <c r="AF268" s="294">
        <v>269</v>
      </c>
    </row>
    <row r="269" spans="24:32">
      <c r="X269" s="294">
        <v>49</v>
      </c>
      <c r="Y269" s="294" t="s">
        <v>1228</v>
      </c>
      <c r="Z269" s="294" t="s">
        <v>1229</v>
      </c>
      <c r="AA269" s="294" t="s">
        <v>896</v>
      </c>
      <c r="AB269" s="294" t="s">
        <v>880</v>
      </c>
      <c r="AC269" s="294">
        <v>0</v>
      </c>
      <c r="AD269" s="296">
        <v>6.4270833333333333E-2</v>
      </c>
      <c r="AE269" s="294">
        <v>9.7240000000000002</v>
      </c>
      <c r="AF269" s="294">
        <v>270</v>
      </c>
    </row>
    <row r="270" spans="24:32" ht="30">
      <c r="X270" s="294">
        <v>93</v>
      </c>
      <c r="Y270" s="294" t="s">
        <v>1230</v>
      </c>
      <c r="Z270" s="294" t="s">
        <v>976</v>
      </c>
      <c r="AA270" s="294" t="s">
        <v>233</v>
      </c>
      <c r="AB270" s="294" t="s">
        <v>789</v>
      </c>
      <c r="AC270" s="294">
        <v>0</v>
      </c>
      <c r="AD270" s="296">
        <v>6.430555555555556E-2</v>
      </c>
      <c r="AE270" s="294">
        <v>9.7189999999999994</v>
      </c>
      <c r="AF270" s="294">
        <v>271</v>
      </c>
    </row>
    <row r="271" spans="24:32" ht="45">
      <c r="X271" s="294">
        <v>271</v>
      </c>
      <c r="Y271" s="294" t="s">
        <v>935</v>
      </c>
      <c r="Z271" s="294" t="s">
        <v>1049</v>
      </c>
      <c r="AA271" s="294" t="s">
        <v>896</v>
      </c>
      <c r="AB271" s="294" t="s">
        <v>826</v>
      </c>
      <c r="AC271" s="294" t="s">
        <v>969</v>
      </c>
      <c r="AD271" s="296">
        <v>6.4340277777777774E-2</v>
      </c>
      <c r="AE271" s="294">
        <v>9.7140000000000004</v>
      </c>
      <c r="AF271" s="294">
        <v>272</v>
      </c>
    </row>
    <row r="272" spans="24:32" ht="30">
      <c r="X272" s="294">
        <v>119</v>
      </c>
      <c r="Y272" s="294" t="s">
        <v>1231</v>
      </c>
      <c r="Z272" s="294" t="s">
        <v>1150</v>
      </c>
      <c r="AA272" s="294" t="s">
        <v>233</v>
      </c>
      <c r="AB272" s="294" t="s">
        <v>789</v>
      </c>
      <c r="AC272" s="294" t="s">
        <v>1064</v>
      </c>
      <c r="AD272" s="296">
        <v>6.4363425925925921E-2</v>
      </c>
      <c r="AE272" s="294">
        <v>9.7100000000000009</v>
      </c>
      <c r="AF272" s="294">
        <v>273</v>
      </c>
    </row>
    <row r="273" spans="24:32">
      <c r="X273" s="294">
        <v>425</v>
      </c>
      <c r="Y273" s="294" t="s">
        <v>1232</v>
      </c>
      <c r="Z273" s="294" t="s">
        <v>1148</v>
      </c>
      <c r="AA273" s="294" t="s">
        <v>233</v>
      </c>
      <c r="AB273" s="294" t="s">
        <v>838</v>
      </c>
      <c r="AC273" s="294">
        <v>0</v>
      </c>
      <c r="AD273" s="296">
        <v>6.4398148148148149E-2</v>
      </c>
      <c r="AE273" s="294">
        <v>9.7050000000000001</v>
      </c>
      <c r="AF273" s="294">
        <v>274</v>
      </c>
    </row>
    <row r="274" spans="24:32">
      <c r="X274" s="294">
        <v>188</v>
      </c>
      <c r="Y274" s="294" t="s">
        <v>1233</v>
      </c>
      <c r="Z274" s="294" t="s">
        <v>934</v>
      </c>
      <c r="AA274" s="294" t="s">
        <v>233</v>
      </c>
      <c r="AB274" s="294" t="s">
        <v>789</v>
      </c>
      <c r="AC274" s="294">
        <v>0</v>
      </c>
      <c r="AD274" s="296">
        <v>6.4444444444444443E-2</v>
      </c>
      <c r="AE274" s="294">
        <v>9.6980000000000004</v>
      </c>
      <c r="AF274" s="294">
        <v>275</v>
      </c>
    </row>
    <row r="275" spans="24:32">
      <c r="X275" s="294">
        <v>186</v>
      </c>
      <c r="Y275" s="294" t="s">
        <v>1234</v>
      </c>
      <c r="Z275" s="294" t="s">
        <v>934</v>
      </c>
      <c r="AA275" s="294" t="s">
        <v>233</v>
      </c>
      <c r="AB275" s="294" t="s">
        <v>789</v>
      </c>
      <c r="AC275" s="294">
        <v>0</v>
      </c>
      <c r="AD275" s="296">
        <v>6.4490740740740737E-2</v>
      </c>
      <c r="AE275" s="294">
        <v>9.6910000000000007</v>
      </c>
      <c r="AF275" s="294">
        <v>276</v>
      </c>
    </row>
    <row r="276" spans="24:32" ht="30">
      <c r="X276" s="294">
        <v>140</v>
      </c>
      <c r="Y276" s="294" t="s">
        <v>1235</v>
      </c>
      <c r="Z276" s="294" t="s">
        <v>976</v>
      </c>
      <c r="AA276" s="294" t="s">
        <v>233</v>
      </c>
      <c r="AB276" s="294" t="s">
        <v>776</v>
      </c>
      <c r="AC276" s="294" t="s">
        <v>785</v>
      </c>
      <c r="AD276" s="296">
        <v>6.4513888888888885E-2</v>
      </c>
      <c r="AE276" s="294">
        <v>9.6880000000000006</v>
      </c>
      <c r="AF276" s="294">
        <v>277</v>
      </c>
    </row>
    <row r="277" spans="24:32" ht="30">
      <c r="X277" s="294">
        <v>130</v>
      </c>
      <c r="Y277" s="294" t="s">
        <v>1236</v>
      </c>
      <c r="Z277" s="294" t="s">
        <v>1084</v>
      </c>
      <c r="AA277" s="294" t="s">
        <v>233</v>
      </c>
      <c r="AB277" s="294" t="s">
        <v>838</v>
      </c>
      <c r="AC277" s="294" t="s">
        <v>1237</v>
      </c>
      <c r="AD277" s="296">
        <v>6.4537037037037046E-2</v>
      </c>
      <c r="AE277" s="294">
        <v>9.6839999999999993</v>
      </c>
      <c r="AF277" s="294">
        <v>278</v>
      </c>
    </row>
    <row r="278" spans="24:32" ht="30">
      <c r="X278" s="294">
        <v>291</v>
      </c>
      <c r="Y278" s="294" t="s">
        <v>1023</v>
      </c>
      <c r="Z278" s="294" t="s">
        <v>1238</v>
      </c>
      <c r="AA278" s="294" t="s">
        <v>896</v>
      </c>
      <c r="AB278" s="294" t="s">
        <v>776</v>
      </c>
      <c r="AC278" s="294" t="s">
        <v>861</v>
      </c>
      <c r="AD278" s="296">
        <v>6.4571759259259259E-2</v>
      </c>
      <c r="AE278" s="294">
        <v>9.6790000000000003</v>
      </c>
      <c r="AF278" s="294">
        <v>279</v>
      </c>
    </row>
    <row r="279" spans="24:32">
      <c r="X279" s="294">
        <v>358</v>
      </c>
      <c r="Y279" s="294" t="s">
        <v>1239</v>
      </c>
      <c r="Z279" s="294" t="s">
        <v>954</v>
      </c>
      <c r="AA279" s="294" t="s">
        <v>233</v>
      </c>
      <c r="AB279" s="294" t="s">
        <v>789</v>
      </c>
      <c r="AC279" s="294">
        <v>0</v>
      </c>
      <c r="AD279" s="296">
        <v>6.4629629629629634E-2</v>
      </c>
      <c r="AE279" s="294">
        <v>9.67</v>
      </c>
      <c r="AF279" s="294">
        <v>280</v>
      </c>
    </row>
    <row r="280" spans="24:32">
      <c r="X280" s="294">
        <v>209</v>
      </c>
      <c r="Y280" s="294" t="s">
        <v>856</v>
      </c>
      <c r="Z280" s="294" t="s">
        <v>1005</v>
      </c>
      <c r="AA280" s="294" t="s">
        <v>233</v>
      </c>
      <c r="AB280" s="294" t="s">
        <v>776</v>
      </c>
      <c r="AC280" s="294">
        <v>0</v>
      </c>
      <c r="AD280" s="296">
        <v>6.5023148148148149E-2</v>
      </c>
      <c r="AE280" s="294">
        <v>9.6120000000000001</v>
      </c>
      <c r="AF280" s="294">
        <v>281</v>
      </c>
    </row>
    <row r="281" spans="24:32" ht="30">
      <c r="X281" s="294">
        <v>483</v>
      </c>
      <c r="Y281" s="294" t="s">
        <v>1039</v>
      </c>
      <c r="Z281" s="294" t="s">
        <v>1108</v>
      </c>
      <c r="AA281" s="294" t="s">
        <v>233</v>
      </c>
      <c r="AB281" s="294" t="s">
        <v>838</v>
      </c>
      <c r="AC281" s="294">
        <v>0</v>
      </c>
      <c r="AD281" s="296">
        <v>6.5162037037037032E-2</v>
      </c>
      <c r="AE281" s="294">
        <v>9.5909999999999993</v>
      </c>
      <c r="AF281" s="294">
        <v>282</v>
      </c>
    </row>
    <row r="282" spans="24:32">
      <c r="X282" s="294">
        <v>331</v>
      </c>
      <c r="Y282" s="294" t="s">
        <v>1240</v>
      </c>
      <c r="Z282" s="294" t="s">
        <v>863</v>
      </c>
      <c r="AA282" s="294" t="s">
        <v>233</v>
      </c>
      <c r="AB282" s="294" t="s">
        <v>776</v>
      </c>
      <c r="AC282" s="294">
        <v>0</v>
      </c>
      <c r="AD282" s="296">
        <v>6.519675925925926E-2</v>
      </c>
      <c r="AE282" s="294">
        <v>9.5860000000000003</v>
      </c>
      <c r="AF282" s="294">
        <v>283</v>
      </c>
    </row>
    <row r="283" spans="24:32" ht="30">
      <c r="X283" s="294">
        <v>441</v>
      </c>
      <c r="Y283" s="294" t="s">
        <v>1241</v>
      </c>
      <c r="Z283" s="294" t="s">
        <v>1161</v>
      </c>
      <c r="AA283" s="294" t="s">
        <v>233</v>
      </c>
      <c r="AB283" s="294" t="s">
        <v>1085</v>
      </c>
      <c r="AC283" s="294">
        <v>0</v>
      </c>
      <c r="AD283" s="296">
        <v>6.5219907407407407E-2</v>
      </c>
      <c r="AE283" s="294">
        <v>9.5830000000000002</v>
      </c>
      <c r="AF283" s="294">
        <v>284</v>
      </c>
    </row>
    <row r="284" spans="24:32">
      <c r="X284" s="294">
        <v>61</v>
      </c>
      <c r="Y284" s="294" t="s">
        <v>1242</v>
      </c>
      <c r="Z284" s="294" t="s">
        <v>781</v>
      </c>
      <c r="AA284" s="294" t="s">
        <v>233</v>
      </c>
      <c r="AB284" s="294" t="s">
        <v>776</v>
      </c>
      <c r="AC284" s="294">
        <v>0</v>
      </c>
      <c r="AD284" s="296">
        <v>6.5254629629629635E-2</v>
      </c>
      <c r="AE284" s="294">
        <v>9.5779999999999994</v>
      </c>
      <c r="AF284" s="294">
        <v>285</v>
      </c>
    </row>
    <row r="285" spans="24:32" ht="30">
      <c r="X285" s="294">
        <v>163</v>
      </c>
      <c r="Y285" s="294" t="s">
        <v>1243</v>
      </c>
      <c r="Z285" s="294" t="s">
        <v>1244</v>
      </c>
      <c r="AA285" s="294" t="s">
        <v>896</v>
      </c>
      <c r="AB285" s="294" t="s">
        <v>789</v>
      </c>
      <c r="AC285" s="294">
        <v>0</v>
      </c>
      <c r="AD285" s="296">
        <v>6.5277777777777782E-2</v>
      </c>
      <c r="AE285" s="294">
        <v>9.5739999999999998</v>
      </c>
      <c r="AF285" s="294">
        <v>286</v>
      </c>
    </row>
    <row r="286" spans="24:32">
      <c r="X286" s="294">
        <v>161</v>
      </c>
      <c r="Y286" s="294" t="s">
        <v>1245</v>
      </c>
      <c r="Z286" s="294" t="s">
        <v>1244</v>
      </c>
      <c r="AA286" s="294" t="s">
        <v>896</v>
      </c>
      <c r="AB286" s="294" t="s">
        <v>789</v>
      </c>
      <c r="AC286" s="294">
        <v>0</v>
      </c>
      <c r="AD286" s="296">
        <v>6.5300925925925915E-2</v>
      </c>
      <c r="AE286" s="294">
        <v>9.5709999999999997</v>
      </c>
      <c r="AF286" s="294">
        <v>287</v>
      </c>
    </row>
    <row r="287" spans="24:32">
      <c r="X287" s="294">
        <v>189</v>
      </c>
      <c r="Y287" s="294" t="s">
        <v>1246</v>
      </c>
      <c r="Z287" s="294" t="s">
        <v>1156</v>
      </c>
      <c r="AA287" s="294" t="s">
        <v>233</v>
      </c>
      <c r="AB287" s="294" t="s">
        <v>1085</v>
      </c>
      <c r="AC287" s="294">
        <v>0</v>
      </c>
      <c r="AD287" s="296">
        <v>6.5324074074074076E-2</v>
      </c>
      <c r="AE287" s="294">
        <v>9.5679999999999996</v>
      </c>
      <c r="AF287" s="294">
        <v>288</v>
      </c>
    </row>
    <row r="288" spans="24:32">
      <c r="X288" s="294">
        <v>236</v>
      </c>
      <c r="Y288" s="294" t="s">
        <v>1247</v>
      </c>
      <c r="Z288" s="294" t="s">
        <v>1248</v>
      </c>
      <c r="AA288" s="294" t="s">
        <v>896</v>
      </c>
      <c r="AB288" s="294" t="s">
        <v>776</v>
      </c>
      <c r="AC288" s="294">
        <v>0</v>
      </c>
      <c r="AD288" s="296">
        <v>6.5347222222222223E-2</v>
      </c>
      <c r="AE288" s="294">
        <v>9.5640000000000001</v>
      </c>
      <c r="AF288" s="294">
        <v>289</v>
      </c>
    </row>
    <row r="289" spans="24:32">
      <c r="X289" s="294">
        <v>455</v>
      </c>
      <c r="Y289" s="294" t="s">
        <v>1249</v>
      </c>
      <c r="Z289" s="294" t="s">
        <v>960</v>
      </c>
      <c r="AA289" s="294" t="s">
        <v>233</v>
      </c>
      <c r="AB289" s="294" t="s">
        <v>789</v>
      </c>
      <c r="AC289" s="294">
        <v>0</v>
      </c>
      <c r="AD289" s="296">
        <v>6.537037037037037E-2</v>
      </c>
      <c r="AE289" s="294">
        <v>9.5609999999999999</v>
      </c>
      <c r="AF289" s="294">
        <v>290</v>
      </c>
    </row>
    <row r="290" spans="24:32" ht="30">
      <c r="X290" s="294">
        <v>7</v>
      </c>
      <c r="Y290" s="294" t="s">
        <v>1250</v>
      </c>
      <c r="Z290" s="294" t="s">
        <v>1251</v>
      </c>
      <c r="AA290" s="294" t="s">
        <v>896</v>
      </c>
      <c r="AB290" s="294" t="s">
        <v>880</v>
      </c>
      <c r="AC290" s="294" t="s">
        <v>790</v>
      </c>
      <c r="AD290" s="296">
        <v>6.5405092592592584E-2</v>
      </c>
      <c r="AE290" s="294">
        <v>9.5559999999999992</v>
      </c>
      <c r="AF290" s="294">
        <v>291</v>
      </c>
    </row>
    <row r="291" spans="24:32" ht="30">
      <c r="X291" s="294">
        <v>6</v>
      </c>
      <c r="Y291" s="294" t="s">
        <v>1252</v>
      </c>
      <c r="Z291" s="294" t="s">
        <v>853</v>
      </c>
      <c r="AA291" s="294" t="s">
        <v>233</v>
      </c>
      <c r="AB291" s="294" t="s">
        <v>776</v>
      </c>
      <c r="AC291" s="294" t="s">
        <v>790</v>
      </c>
      <c r="AD291" s="296">
        <v>6.5416666666666665E-2</v>
      </c>
      <c r="AE291" s="294">
        <v>9.5540000000000003</v>
      </c>
      <c r="AF291" s="294">
        <v>292</v>
      </c>
    </row>
    <row r="292" spans="24:32" ht="30">
      <c r="X292" s="294">
        <v>323</v>
      </c>
      <c r="Y292" s="294" t="s">
        <v>1253</v>
      </c>
      <c r="Z292" s="294" t="s">
        <v>932</v>
      </c>
      <c r="AA292" s="294" t="s">
        <v>233</v>
      </c>
      <c r="AB292" s="294" t="s">
        <v>776</v>
      </c>
      <c r="AC292" s="294" t="s">
        <v>1254</v>
      </c>
      <c r="AD292" s="296">
        <v>6.5439814814814812E-2</v>
      </c>
      <c r="AE292" s="294">
        <v>9.5510000000000002</v>
      </c>
      <c r="AF292" s="294">
        <v>293</v>
      </c>
    </row>
    <row r="293" spans="24:32">
      <c r="X293" s="294">
        <v>13</v>
      </c>
      <c r="Y293" s="294" t="s">
        <v>1255</v>
      </c>
      <c r="Z293" s="294" t="s">
        <v>1084</v>
      </c>
      <c r="AA293" s="294" t="s">
        <v>233</v>
      </c>
      <c r="AB293" s="294" t="s">
        <v>838</v>
      </c>
      <c r="AC293" s="294">
        <v>0</v>
      </c>
      <c r="AD293" s="296">
        <v>6.5578703703703708E-2</v>
      </c>
      <c r="AE293" s="294">
        <v>9.5310000000000006</v>
      </c>
      <c r="AF293" s="294">
        <v>294</v>
      </c>
    </row>
    <row r="294" spans="24:32">
      <c r="X294" s="294">
        <v>454</v>
      </c>
      <c r="Y294" s="294" t="s">
        <v>1256</v>
      </c>
      <c r="Z294" s="294" t="s">
        <v>1257</v>
      </c>
      <c r="AA294" s="294" t="s">
        <v>233</v>
      </c>
      <c r="AB294" s="294" t="s">
        <v>776</v>
      </c>
      <c r="AC294" s="294">
        <v>0</v>
      </c>
      <c r="AD294" s="296">
        <v>6.5648148148148136E-2</v>
      </c>
      <c r="AE294" s="294">
        <v>9.52</v>
      </c>
      <c r="AF294" s="294">
        <v>295</v>
      </c>
    </row>
    <row r="295" spans="24:32">
      <c r="X295" s="294">
        <v>463</v>
      </c>
      <c r="Y295" s="294" t="s">
        <v>1258</v>
      </c>
      <c r="Z295" s="294" t="s">
        <v>857</v>
      </c>
      <c r="AA295" s="294" t="s">
        <v>233</v>
      </c>
      <c r="AB295" s="294" t="s">
        <v>789</v>
      </c>
      <c r="AC295" s="294">
        <v>0</v>
      </c>
      <c r="AD295" s="296">
        <v>6.5694444444444444E-2</v>
      </c>
      <c r="AE295" s="294">
        <v>9.5139999999999993</v>
      </c>
      <c r="AF295" s="294">
        <v>296</v>
      </c>
    </row>
    <row r="296" spans="24:32">
      <c r="X296" s="294">
        <v>58</v>
      </c>
      <c r="Y296" s="294" t="s">
        <v>1259</v>
      </c>
      <c r="Z296" s="294" t="s">
        <v>1028</v>
      </c>
      <c r="AA296" s="294" t="s">
        <v>233</v>
      </c>
      <c r="AB296" s="294" t="s">
        <v>789</v>
      </c>
      <c r="AC296" s="294">
        <v>0</v>
      </c>
      <c r="AD296" s="296">
        <v>6.5798611111111113E-2</v>
      </c>
      <c r="AE296" s="294">
        <v>9.4990000000000006</v>
      </c>
      <c r="AF296" s="294">
        <v>297</v>
      </c>
    </row>
    <row r="297" spans="24:32">
      <c r="X297" s="294">
        <v>156</v>
      </c>
      <c r="Y297" s="294" t="s">
        <v>1260</v>
      </c>
      <c r="Z297" s="294" t="s">
        <v>870</v>
      </c>
      <c r="AA297" s="294" t="s">
        <v>896</v>
      </c>
      <c r="AB297" s="294" t="s">
        <v>776</v>
      </c>
      <c r="AC297" s="294" t="s">
        <v>1261</v>
      </c>
      <c r="AD297" s="296">
        <v>6.5937499999999996E-2</v>
      </c>
      <c r="AE297" s="294">
        <v>9.4789999999999992</v>
      </c>
      <c r="AF297" s="294">
        <v>298</v>
      </c>
    </row>
    <row r="298" spans="24:32">
      <c r="X298" s="294">
        <v>421</v>
      </c>
      <c r="Y298" s="294" t="s">
        <v>1262</v>
      </c>
      <c r="Z298" s="294" t="s">
        <v>1187</v>
      </c>
      <c r="AA298" s="294" t="s">
        <v>233</v>
      </c>
      <c r="AB298" s="294" t="s">
        <v>789</v>
      </c>
      <c r="AC298" s="294">
        <v>0</v>
      </c>
      <c r="AD298" s="296">
        <v>6.6006944444444438E-2</v>
      </c>
      <c r="AE298" s="294">
        <v>9.4689999999999994</v>
      </c>
      <c r="AF298" s="294">
        <v>299</v>
      </c>
    </row>
    <row r="299" spans="24:32" ht="30">
      <c r="X299" s="294">
        <v>247</v>
      </c>
      <c r="Y299" s="294" t="s">
        <v>1263</v>
      </c>
      <c r="Z299" s="294" t="s">
        <v>1264</v>
      </c>
      <c r="AA299" s="294" t="s">
        <v>896</v>
      </c>
      <c r="AB299" s="294" t="s">
        <v>789</v>
      </c>
      <c r="AC299" s="294" t="s">
        <v>1206</v>
      </c>
      <c r="AD299" s="296">
        <v>6.6064814814814812E-2</v>
      </c>
      <c r="AE299" s="294">
        <v>9.4600000000000009</v>
      </c>
      <c r="AF299" s="294">
        <v>300</v>
      </c>
    </row>
    <row r="300" spans="24:32">
      <c r="X300" s="294">
        <v>216</v>
      </c>
      <c r="Y300" s="294" t="s">
        <v>1265</v>
      </c>
      <c r="Z300" s="294" t="s">
        <v>1095</v>
      </c>
      <c r="AA300" s="294" t="s">
        <v>233</v>
      </c>
      <c r="AB300" s="294" t="s">
        <v>776</v>
      </c>
      <c r="AC300" s="294">
        <v>0</v>
      </c>
      <c r="AD300" s="296">
        <v>6.6122685185185187E-2</v>
      </c>
      <c r="AE300" s="294">
        <v>9.452</v>
      </c>
      <c r="AF300" s="294">
        <v>301</v>
      </c>
    </row>
    <row r="301" spans="24:32">
      <c r="X301" s="294">
        <v>215</v>
      </c>
      <c r="Y301" s="294" t="s">
        <v>1266</v>
      </c>
      <c r="Z301" s="294" t="s">
        <v>1105</v>
      </c>
      <c r="AA301" s="294" t="s">
        <v>233</v>
      </c>
      <c r="AB301" s="294" t="s">
        <v>776</v>
      </c>
      <c r="AC301" s="294" t="s">
        <v>1267</v>
      </c>
      <c r="AD301" s="296">
        <v>6.6157407407407401E-2</v>
      </c>
      <c r="AE301" s="294">
        <v>9.4469999999999992</v>
      </c>
      <c r="AF301" s="294">
        <v>302</v>
      </c>
    </row>
    <row r="302" spans="24:32">
      <c r="X302" s="294">
        <v>107</v>
      </c>
      <c r="Y302" s="294" t="s">
        <v>1268</v>
      </c>
      <c r="Z302" s="294" t="s">
        <v>1269</v>
      </c>
      <c r="AA302" s="294" t="s">
        <v>233</v>
      </c>
      <c r="AB302" s="294" t="s">
        <v>776</v>
      </c>
      <c r="AC302" s="294">
        <v>0</v>
      </c>
      <c r="AD302" s="296">
        <v>6.6249999999999989E-2</v>
      </c>
      <c r="AE302" s="294">
        <v>9.4339999999999993</v>
      </c>
      <c r="AF302" s="294">
        <v>303</v>
      </c>
    </row>
    <row r="303" spans="24:32">
      <c r="X303" s="294">
        <v>150</v>
      </c>
      <c r="Y303" s="294" t="s">
        <v>1270</v>
      </c>
      <c r="Z303" s="294" t="s">
        <v>1271</v>
      </c>
      <c r="AA303" s="294" t="s">
        <v>896</v>
      </c>
      <c r="AB303" s="294" t="s">
        <v>838</v>
      </c>
      <c r="AC303" s="294">
        <v>0</v>
      </c>
      <c r="AD303" s="296">
        <v>6.6296296296296298E-2</v>
      </c>
      <c r="AE303" s="294">
        <v>9.4269999999999996</v>
      </c>
      <c r="AF303" s="294">
        <v>304</v>
      </c>
    </row>
    <row r="304" spans="24:32" ht="60">
      <c r="X304" s="294">
        <v>149</v>
      </c>
      <c r="Y304" s="294" t="s">
        <v>1270</v>
      </c>
      <c r="Z304" s="294" t="s">
        <v>809</v>
      </c>
      <c r="AA304" s="294" t="s">
        <v>233</v>
      </c>
      <c r="AB304" s="294" t="s">
        <v>838</v>
      </c>
      <c r="AC304" s="294" t="s">
        <v>1171</v>
      </c>
      <c r="AD304" s="296">
        <v>6.6307870370370378E-2</v>
      </c>
      <c r="AE304" s="294">
        <v>9.4260000000000002</v>
      </c>
      <c r="AF304" s="294">
        <v>305</v>
      </c>
    </row>
    <row r="305" spans="24:32" ht="60">
      <c r="X305" s="294">
        <v>253</v>
      </c>
      <c r="Y305" s="294" t="s">
        <v>1272</v>
      </c>
      <c r="Z305" s="294" t="s">
        <v>934</v>
      </c>
      <c r="AA305" s="294" t="s">
        <v>233</v>
      </c>
      <c r="AB305" s="294" t="s">
        <v>838</v>
      </c>
      <c r="AC305" s="294" t="s">
        <v>1273</v>
      </c>
      <c r="AD305" s="296">
        <v>6.6354166666666659E-2</v>
      </c>
      <c r="AE305" s="294">
        <v>9.4190000000000005</v>
      </c>
      <c r="AF305" s="294">
        <v>306</v>
      </c>
    </row>
    <row r="306" spans="24:32">
      <c r="X306" s="294">
        <v>196</v>
      </c>
      <c r="Y306" s="294" t="s">
        <v>1274</v>
      </c>
      <c r="Z306" s="294" t="s">
        <v>1036</v>
      </c>
      <c r="AA306" s="294" t="s">
        <v>233</v>
      </c>
      <c r="AB306" s="294" t="s">
        <v>838</v>
      </c>
      <c r="AC306" s="294">
        <v>0</v>
      </c>
      <c r="AD306" s="296">
        <v>6.6493055555555555E-2</v>
      </c>
      <c r="AE306" s="294">
        <v>9.3989999999999991</v>
      </c>
      <c r="AF306" s="294">
        <v>307</v>
      </c>
    </row>
    <row r="307" spans="24:32">
      <c r="X307" s="294">
        <v>31</v>
      </c>
      <c r="Y307" s="294" t="s">
        <v>1275</v>
      </c>
      <c r="Z307" s="294" t="s">
        <v>1276</v>
      </c>
      <c r="AA307" s="294" t="s">
        <v>233</v>
      </c>
      <c r="AB307" s="294" t="s">
        <v>838</v>
      </c>
      <c r="AC307" s="294">
        <v>0</v>
      </c>
      <c r="AD307" s="296">
        <v>6.6516203703703702E-2</v>
      </c>
      <c r="AE307" s="294">
        <v>9.3960000000000008</v>
      </c>
      <c r="AF307" s="294">
        <v>308</v>
      </c>
    </row>
    <row r="308" spans="24:32">
      <c r="X308" s="294">
        <v>461</v>
      </c>
      <c r="Y308" s="294" t="s">
        <v>1277</v>
      </c>
      <c r="Z308" s="294" t="s">
        <v>1026</v>
      </c>
      <c r="AA308" s="294" t="s">
        <v>233</v>
      </c>
      <c r="AB308" s="294" t="s">
        <v>776</v>
      </c>
      <c r="AC308" s="294">
        <v>0</v>
      </c>
      <c r="AD308" s="296">
        <v>6.653935185185185E-2</v>
      </c>
      <c r="AE308" s="294">
        <v>9.3930000000000007</v>
      </c>
      <c r="AF308" s="294">
        <v>309</v>
      </c>
    </row>
    <row r="309" spans="24:32">
      <c r="X309" s="294">
        <v>449</v>
      </c>
      <c r="Y309" s="294" t="s">
        <v>1278</v>
      </c>
      <c r="Z309" s="294" t="s">
        <v>857</v>
      </c>
      <c r="AA309" s="294" t="s">
        <v>233</v>
      </c>
      <c r="AB309" s="294" t="s">
        <v>838</v>
      </c>
      <c r="AC309" s="294">
        <v>0</v>
      </c>
      <c r="AD309" s="296">
        <v>6.6608796296296291E-2</v>
      </c>
      <c r="AE309" s="294">
        <v>9.3829999999999991</v>
      </c>
      <c r="AF309" s="294">
        <v>310</v>
      </c>
    </row>
    <row r="310" spans="24:32">
      <c r="X310" s="294">
        <v>445</v>
      </c>
      <c r="Y310" s="294" t="s">
        <v>1279</v>
      </c>
      <c r="Z310" s="294" t="s">
        <v>788</v>
      </c>
      <c r="AA310" s="294" t="s">
        <v>233</v>
      </c>
      <c r="AB310" s="294" t="s">
        <v>776</v>
      </c>
      <c r="AC310" s="294">
        <v>0</v>
      </c>
      <c r="AD310" s="296">
        <v>6.6655092592592599E-2</v>
      </c>
      <c r="AE310" s="294">
        <v>9.3770000000000007</v>
      </c>
      <c r="AF310" s="294">
        <v>311</v>
      </c>
    </row>
    <row r="311" spans="24:32">
      <c r="X311" s="294">
        <v>222</v>
      </c>
      <c r="Y311" s="294" t="s">
        <v>1280</v>
      </c>
      <c r="Z311" s="294" t="s">
        <v>1148</v>
      </c>
      <c r="AA311" s="294" t="s">
        <v>233</v>
      </c>
      <c r="AB311" s="294" t="s">
        <v>776</v>
      </c>
      <c r="AC311" s="294">
        <v>0</v>
      </c>
      <c r="AD311" s="296">
        <v>6.6898148148148151E-2</v>
      </c>
      <c r="AE311" s="294">
        <v>9.343</v>
      </c>
      <c r="AF311" s="294">
        <v>312</v>
      </c>
    </row>
    <row r="312" spans="24:32">
      <c r="X312" s="294">
        <v>274</v>
      </c>
      <c r="Y312" s="294" t="s">
        <v>1281</v>
      </c>
      <c r="Z312" s="294" t="s">
        <v>825</v>
      </c>
      <c r="AA312" s="294" t="s">
        <v>233</v>
      </c>
      <c r="AB312" s="294" t="s">
        <v>776</v>
      </c>
      <c r="AC312" s="294">
        <v>0</v>
      </c>
      <c r="AD312" s="296">
        <v>6.6956018518518512E-2</v>
      </c>
      <c r="AE312" s="294">
        <v>9.3339999999999996</v>
      </c>
      <c r="AF312" s="294">
        <v>313</v>
      </c>
    </row>
    <row r="313" spans="24:32">
      <c r="X313" s="294">
        <v>233</v>
      </c>
      <c r="Y313" s="294" t="s">
        <v>1282</v>
      </c>
      <c r="Z313" s="294" t="s">
        <v>1283</v>
      </c>
      <c r="AA313" s="294" t="s">
        <v>896</v>
      </c>
      <c r="AB313" s="294" t="s">
        <v>776</v>
      </c>
      <c r="AC313" s="294">
        <v>0</v>
      </c>
      <c r="AD313" s="296">
        <v>6.7013888888888887E-2</v>
      </c>
      <c r="AE313" s="294">
        <v>9.3260000000000005</v>
      </c>
      <c r="AF313" s="294">
        <v>314</v>
      </c>
    </row>
    <row r="314" spans="24:32" ht="30">
      <c r="X314" s="294">
        <v>365</v>
      </c>
      <c r="Y314" s="294" t="s">
        <v>1284</v>
      </c>
      <c r="Z314" s="294" t="s">
        <v>1285</v>
      </c>
      <c r="AA314" s="294" t="s">
        <v>233</v>
      </c>
      <c r="AB314" s="294" t="s">
        <v>838</v>
      </c>
      <c r="AC314" s="294" t="s">
        <v>1057</v>
      </c>
      <c r="AD314" s="296">
        <v>6.7037037037037034E-2</v>
      </c>
      <c r="AE314" s="294">
        <v>9.3230000000000004</v>
      </c>
      <c r="AF314" s="294">
        <v>315</v>
      </c>
    </row>
    <row r="315" spans="24:32" ht="30">
      <c r="X315" s="294">
        <v>101</v>
      </c>
      <c r="Y315" s="294" t="s">
        <v>1286</v>
      </c>
      <c r="Z315" s="294" t="s">
        <v>843</v>
      </c>
      <c r="AA315" s="294" t="s">
        <v>233</v>
      </c>
      <c r="AB315" s="294" t="s">
        <v>789</v>
      </c>
      <c r="AC315" s="294">
        <v>0</v>
      </c>
      <c r="AD315" s="296">
        <v>6.7106481481481475E-2</v>
      </c>
      <c r="AE315" s="294">
        <v>9.3140000000000001</v>
      </c>
      <c r="AF315" s="294">
        <v>316</v>
      </c>
    </row>
    <row r="316" spans="24:32" ht="45">
      <c r="X316" s="294">
        <v>356</v>
      </c>
      <c r="Y316" s="294" t="s">
        <v>1287</v>
      </c>
      <c r="Z316" s="294" t="s">
        <v>984</v>
      </c>
      <c r="AA316" s="294" t="s">
        <v>233</v>
      </c>
      <c r="AB316" s="294" t="s">
        <v>789</v>
      </c>
      <c r="AC316" s="294" t="s">
        <v>909</v>
      </c>
      <c r="AD316" s="296">
        <v>6.7187499999999997E-2</v>
      </c>
      <c r="AE316" s="294">
        <v>9.3019999999999996</v>
      </c>
      <c r="AF316" s="294">
        <v>317</v>
      </c>
    </row>
    <row r="317" spans="24:32">
      <c r="X317" s="294">
        <v>466</v>
      </c>
      <c r="Y317" s="294" t="s">
        <v>1288</v>
      </c>
      <c r="Z317" s="294" t="s">
        <v>1289</v>
      </c>
      <c r="AA317" s="294" t="s">
        <v>896</v>
      </c>
      <c r="AB317" s="294" t="s">
        <v>776</v>
      </c>
      <c r="AC317" s="294">
        <v>0</v>
      </c>
      <c r="AD317" s="296">
        <v>6.7280092592592586E-2</v>
      </c>
      <c r="AE317" s="294">
        <v>9.2899999999999991</v>
      </c>
      <c r="AF317" s="294">
        <v>318</v>
      </c>
    </row>
    <row r="318" spans="24:32">
      <c r="X318" s="294">
        <v>430</v>
      </c>
      <c r="Y318" s="294" t="s">
        <v>1290</v>
      </c>
      <c r="Z318" s="294" t="s">
        <v>1291</v>
      </c>
      <c r="AA318" s="294" t="s">
        <v>896</v>
      </c>
      <c r="AB318" s="294" t="s">
        <v>789</v>
      </c>
      <c r="AC318" s="294" t="s">
        <v>1018</v>
      </c>
      <c r="AD318" s="296">
        <v>6.7314814814814813E-2</v>
      </c>
      <c r="AE318" s="294">
        <v>9.2850000000000001</v>
      </c>
      <c r="AF318" s="294">
        <v>319</v>
      </c>
    </row>
    <row r="319" spans="24:32" ht="45">
      <c r="X319" s="294">
        <v>92</v>
      </c>
      <c r="Y319" s="294" t="s">
        <v>923</v>
      </c>
      <c r="Z319" s="294" t="s">
        <v>814</v>
      </c>
      <c r="AA319" s="294" t="s">
        <v>233</v>
      </c>
      <c r="AB319" s="294" t="s">
        <v>789</v>
      </c>
      <c r="AC319" s="294" t="s">
        <v>1292</v>
      </c>
      <c r="AD319" s="296">
        <v>6.7337962962962961E-2</v>
      </c>
      <c r="AE319" s="294">
        <v>9.282</v>
      </c>
      <c r="AF319" s="294">
        <v>320</v>
      </c>
    </row>
    <row r="320" spans="24:32">
      <c r="X320" s="294">
        <v>340</v>
      </c>
      <c r="Y320" s="294" t="s">
        <v>1293</v>
      </c>
      <c r="Z320" s="294" t="s">
        <v>1294</v>
      </c>
      <c r="AA320" s="294" t="s">
        <v>233</v>
      </c>
      <c r="AB320" s="294" t="s">
        <v>880</v>
      </c>
      <c r="AC320" s="294">
        <v>0</v>
      </c>
      <c r="AD320" s="296">
        <v>6.7361111111111108E-2</v>
      </c>
      <c r="AE320" s="294">
        <v>9.2780000000000005</v>
      </c>
      <c r="AF320" s="294">
        <v>321</v>
      </c>
    </row>
    <row r="321" spans="24:32" ht="30">
      <c r="X321" s="294">
        <v>73</v>
      </c>
      <c r="Y321" s="294" t="s">
        <v>1295</v>
      </c>
      <c r="Z321" s="294" t="s">
        <v>1296</v>
      </c>
      <c r="AA321" s="294" t="s">
        <v>896</v>
      </c>
      <c r="AB321" s="294" t="s">
        <v>838</v>
      </c>
      <c r="AC321" s="294" t="s">
        <v>877</v>
      </c>
      <c r="AD321" s="296">
        <v>6.7372685185185188E-2</v>
      </c>
      <c r="AE321" s="294">
        <v>9.2769999999999992</v>
      </c>
      <c r="AF321" s="294">
        <v>322</v>
      </c>
    </row>
    <row r="322" spans="24:32">
      <c r="X322" s="294">
        <v>252</v>
      </c>
      <c r="Y322" s="294" t="s">
        <v>1297</v>
      </c>
      <c r="Z322" s="294" t="s">
        <v>1298</v>
      </c>
      <c r="AA322" s="294" t="s">
        <v>233</v>
      </c>
      <c r="AB322" s="294" t="s">
        <v>838</v>
      </c>
      <c r="AC322" s="294">
        <v>0</v>
      </c>
      <c r="AD322" s="296">
        <v>6.7395833333333335E-2</v>
      </c>
      <c r="AE322" s="294">
        <v>9.2739999999999991</v>
      </c>
      <c r="AF322" s="294">
        <v>323</v>
      </c>
    </row>
    <row r="323" spans="24:32">
      <c r="X323" s="294">
        <v>145</v>
      </c>
      <c r="Y323" s="294" t="s">
        <v>1219</v>
      </c>
      <c r="Z323" s="294" t="s">
        <v>1218</v>
      </c>
      <c r="AA323" s="294" t="s">
        <v>896</v>
      </c>
      <c r="AB323" s="294" t="s">
        <v>838</v>
      </c>
      <c r="AC323" s="294" t="s">
        <v>946</v>
      </c>
      <c r="AD323" s="296">
        <v>6.7465277777777777E-2</v>
      </c>
      <c r="AE323" s="294">
        <v>9.2639999999999993</v>
      </c>
      <c r="AF323" s="294">
        <v>324</v>
      </c>
    </row>
    <row r="324" spans="24:32">
      <c r="X324" s="294">
        <v>63</v>
      </c>
      <c r="Y324" s="294" t="s">
        <v>1299</v>
      </c>
      <c r="Z324" s="294" t="s">
        <v>1300</v>
      </c>
      <c r="AA324" s="294" t="s">
        <v>896</v>
      </c>
      <c r="AB324" s="294" t="s">
        <v>789</v>
      </c>
      <c r="AC324" s="294">
        <v>0</v>
      </c>
      <c r="AD324" s="296">
        <v>6.7638888888888887E-2</v>
      </c>
      <c r="AE324" s="294">
        <v>9.24</v>
      </c>
      <c r="AF324" s="294">
        <v>325</v>
      </c>
    </row>
    <row r="325" spans="24:32">
      <c r="X325" s="294">
        <v>308</v>
      </c>
      <c r="Y325" s="294" t="s">
        <v>1301</v>
      </c>
      <c r="Z325" s="294" t="s">
        <v>853</v>
      </c>
      <c r="AA325" s="294" t="s">
        <v>233</v>
      </c>
      <c r="AB325" s="294" t="s">
        <v>789</v>
      </c>
      <c r="AC325" s="294">
        <v>0</v>
      </c>
      <c r="AD325" s="296">
        <v>6.7824074074074078E-2</v>
      </c>
      <c r="AE325" s="294">
        <v>9.2149999999999999</v>
      </c>
      <c r="AF325" s="294">
        <v>326</v>
      </c>
    </row>
    <row r="326" spans="24:32">
      <c r="X326" s="294">
        <v>103</v>
      </c>
      <c r="Y326" s="294" t="s">
        <v>1302</v>
      </c>
      <c r="Z326" s="294" t="s">
        <v>1303</v>
      </c>
      <c r="AA326" s="294" t="s">
        <v>896</v>
      </c>
      <c r="AB326" s="294" t="s">
        <v>789</v>
      </c>
      <c r="AC326" s="294" t="s">
        <v>946</v>
      </c>
      <c r="AD326" s="296">
        <v>6.789351851851852E-2</v>
      </c>
      <c r="AE326" s="294">
        <v>9.2059999999999995</v>
      </c>
      <c r="AF326" s="294">
        <v>327</v>
      </c>
    </row>
    <row r="327" spans="24:32">
      <c r="X327" s="294">
        <v>472</v>
      </c>
      <c r="Y327" s="294" t="s">
        <v>1304</v>
      </c>
      <c r="Z327" s="294" t="s">
        <v>1119</v>
      </c>
      <c r="AA327" s="294" t="s">
        <v>233</v>
      </c>
      <c r="AB327" s="294" t="s">
        <v>838</v>
      </c>
      <c r="AC327" s="294" t="s">
        <v>1305</v>
      </c>
      <c r="AD327" s="296">
        <v>6.8159722222222219E-2</v>
      </c>
      <c r="AE327" s="294">
        <v>9.17</v>
      </c>
      <c r="AF327" s="294">
        <v>328</v>
      </c>
    </row>
    <row r="328" spans="24:32">
      <c r="X328" s="294">
        <v>348</v>
      </c>
      <c r="Y328" s="294" t="s">
        <v>1306</v>
      </c>
      <c r="Z328" s="294" t="s">
        <v>1307</v>
      </c>
      <c r="AA328" s="294" t="s">
        <v>896</v>
      </c>
      <c r="AB328" s="294" t="s">
        <v>826</v>
      </c>
      <c r="AC328" s="294">
        <v>0</v>
      </c>
      <c r="AD328" s="296">
        <v>6.8194444444444446E-2</v>
      </c>
      <c r="AE328" s="294">
        <v>9.1649999999999991</v>
      </c>
      <c r="AF328" s="294">
        <v>329</v>
      </c>
    </row>
    <row r="329" spans="24:32">
      <c r="X329" s="294">
        <v>263</v>
      </c>
      <c r="Y329" s="294" t="s">
        <v>1308</v>
      </c>
      <c r="Z329" s="294" t="s">
        <v>1309</v>
      </c>
      <c r="AA329" s="294" t="s">
        <v>896</v>
      </c>
      <c r="AB329" s="294" t="s">
        <v>776</v>
      </c>
      <c r="AC329" s="294">
        <v>0</v>
      </c>
      <c r="AD329" s="296">
        <v>6.822916666666666E-2</v>
      </c>
      <c r="AE329" s="294">
        <v>9.16</v>
      </c>
      <c r="AF329" s="294">
        <v>330</v>
      </c>
    </row>
    <row r="330" spans="24:32">
      <c r="X330" s="294">
        <v>219</v>
      </c>
      <c r="Y330" s="294" t="s">
        <v>1310</v>
      </c>
      <c r="Z330" s="294" t="s">
        <v>1311</v>
      </c>
      <c r="AA330" s="294" t="s">
        <v>233</v>
      </c>
      <c r="AB330" s="294" t="s">
        <v>789</v>
      </c>
      <c r="AC330" s="294">
        <v>0</v>
      </c>
      <c r="AD330" s="296">
        <v>6.8298611111111115E-2</v>
      </c>
      <c r="AE330" s="294">
        <v>9.1509999999999998</v>
      </c>
      <c r="AF330" s="294">
        <v>331</v>
      </c>
    </row>
    <row r="331" spans="24:32" ht="30">
      <c r="X331" s="294">
        <v>81</v>
      </c>
      <c r="Y331" s="294" t="s">
        <v>1312</v>
      </c>
      <c r="Z331" s="294" t="s">
        <v>1313</v>
      </c>
      <c r="AA331" s="294" t="s">
        <v>233</v>
      </c>
      <c r="AB331" s="294" t="s">
        <v>776</v>
      </c>
      <c r="AC331" s="294" t="s">
        <v>790</v>
      </c>
      <c r="AD331" s="296">
        <v>6.8368055555555557E-2</v>
      </c>
      <c r="AE331" s="294">
        <v>9.1419999999999995</v>
      </c>
      <c r="AF331" s="294">
        <v>332</v>
      </c>
    </row>
    <row r="332" spans="24:32">
      <c r="X332" s="294">
        <v>99</v>
      </c>
      <c r="Y332" s="294" t="s">
        <v>1314</v>
      </c>
      <c r="Z332" s="294" t="s">
        <v>1005</v>
      </c>
      <c r="AA332" s="294" t="s">
        <v>233</v>
      </c>
      <c r="AB332" s="294" t="s">
        <v>789</v>
      </c>
      <c r="AC332" s="294" t="s">
        <v>877</v>
      </c>
      <c r="AD332" s="296">
        <v>6.87962962962963E-2</v>
      </c>
      <c r="AE332" s="294">
        <v>9.0850000000000009</v>
      </c>
      <c r="AF332" s="294">
        <v>333</v>
      </c>
    </row>
    <row r="333" spans="24:32" ht="30">
      <c r="X333" s="294">
        <v>191</v>
      </c>
      <c r="Y333" s="294" t="s">
        <v>1315</v>
      </c>
      <c r="Z333" s="294" t="s">
        <v>1026</v>
      </c>
      <c r="AA333" s="294" t="s">
        <v>233</v>
      </c>
      <c r="AB333" s="294" t="s">
        <v>838</v>
      </c>
      <c r="AC333" s="294" t="s">
        <v>1316</v>
      </c>
      <c r="AD333" s="296">
        <v>6.8877314814814808E-2</v>
      </c>
      <c r="AE333" s="294">
        <v>9.0739999999999998</v>
      </c>
      <c r="AF333" s="294">
        <v>334</v>
      </c>
    </row>
    <row r="334" spans="24:32">
      <c r="X334" s="294">
        <v>11</v>
      </c>
      <c r="Y334" s="294" t="s">
        <v>1317</v>
      </c>
      <c r="Z334" s="294" t="s">
        <v>1318</v>
      </c>
      <c r="AA334" s="294" t="s">
        <v>896</v>
      </c>
      <c r="AB334" s="294" t="s">
        <v>776</v>
      </c>
      <c r="AC334" s="294">
        <v>0</v>
      </c>
      <c r="AD334" s="296">
        <v>6.8888888888888888E-2</v>
      </c>
      <c r="AE334" s="294">
        <v>9.0730000000000004</v>
      </c>
      <c r="AF334" s="294">
        <v>335</v>
      </c>
    </row>
    <row r="335" spans="24:32" ht="30">
      <c r="X335" s="294">
        <v>82</v>
      </c>
      <c r="Y335" s="294" t="s">
        <v>1319</v>
      </c>
      <c r="Z335" s="294" t="s">
        <v>1320</v>
      </c>
      <c r="AA335" s="294" t="s">
        <v>896</v>
      </c>
      <c r="AB335" s="294" t="s">
        <v>826</v>
      </c>
      <c r="AC335" s="294">
        <v>0</v>
      </c>
      <c r="AD335" s="296">
        <v>6.8935185185185183E-2</v>
      </c>
      <c r="AE335" s="294">
        <v>9.0660000000000007</v>
      </c>
      <c r="AF335" s="294">
        <v>336</v>
      </c>
    </row>
    <row r="336" spans="24:32" ht="30">
      <c r="X336" s="294">
        <v>489</v>
      </c>
      <c r="Y336" s="294" t="s">
        <v>1321</v>
      </c>
      <c r="Z336" s="294" t="s">
        <v>976</v>
      </c>
      <c r="AA336" s="294" t="s">
        <v>233</v>
      </c>
      <c r="AB336" s="294" t="s">
        <v>789</v>
      </c>
      <c r="AC336" s="294">
        <v>0</v>
      </c>
      <c r="AD336" s="296">
        <v>6.8993055555555557E-2</v>
      </c>
      <c r="AE336" s="294">
        <v>9.0589999999999993</v>
      </c>
      <c r="AF336" s="294">
        <v>337</v>
      </c>
    </row>
    <row r="337" spans="24:32">
      <c r="X337" s="294">
        <v>226</v>
      </c>
      <c r="Y337" s="294" t="s">
        <v>1322</v>
      </c>
      <c r="Z337" s="294" t="s">
        <v>1323</v>
      </c>
      <c r="AA337" s="294" t="s">
        <v>233</v>
      </c>
      <c r="AB337" s="294" t="s">
        <v>776</v>
      </c>
      <c r="AC337" s="294">
        <v>0</v>
      </c>
      <c r="AD337" s="296">
        <v>6.9189814814814815E-2</v>
      </c>
      <c r="AE337" s="294">
        <v>9.0329999999999995</v>
      </c>
      <c r="AF337" s="294">
        <v>338</v>
      </c>
    </row>
    <row r="338" spans="24:32">
      <c r="X338" s="294">
        <v>237</v>
      </c>
      <c r="Y338" s="294" t="s">
        <v>1324</v>
      </c>
      <c r="Z338" s="294" t="s">
        <v>1325</v>
      </c>
      <c r="AA338" s="294" t="s">
        <v>233</v>
      </c>
      <c r="AB338" s="294" t="s">
        <v>776</v>
      </c>
      <c r="AC338" s="294">
        <v>0</v>
      </c>
      <c r="AD338" s="296">
        <v>6.9328703703703712E-2</v>
      </c>
      <c r="AE338" s="294">
        <v>9.0150000000000006</v>
      </c>
      <c r="AF338" s="294">
        <v>339</v>
      </c>
    </row>
    <row r="339" spans="24:32" ht="30">
      <c r="X339" s="294">
        <v>126</v>
      </c>
      <c r="Y339" s="294" t="s">
        <v>1326</v>
      </c>
      <c r="Z339" s="294" t="s">
        <v>990</v>
      </c>
      <c r="AA339" s="294" t="s">
        <v>233</v>
      </c>
      <c r="AB339" s="294" t="s">
        <v>789</v>
      </c>
      <c r="AC339" s="294" t="s">
        <v>790</v>
      </c>
      <c r="AD339" s="296">
        <v>6.9375000000000006E-2</v>
      </c>
      <c r="AE339" s="294">
        <v>9.0090000000000003</v>
      </c>
      <c r="AF339" s="294">
        <v>340</v>
      </c>
    </row>
    <row r="340" spans="24:32">
      <c r="X340" s="294">
        <v>312</v>
      </c>
      <c r="Y340" s="294" t="s">
        <v>1327</v>
      </c>
      <c r="Z340" s="294" t="s">
        <v>1161</v>
      </c>
      <c r="AA340" s="294" t="s">
        <v>233</v>
      </c>
      <c r="AB340" s="294" t="s">
        <v>838</v>
      </c>
      <c r="AC340" s="294">
        <v>0</v>
      </c>
      <c r="AD340" s="296">
        <v>6.9502314814814822E-2</v>
      </c>
      <c r="AE340" s="294">
        <v>8.9930000000000003</v>
      </c>
      <c r="AF340" s="294">
        <v>341</v>
      </c>
    </row>
    <row r="341" spans="24:32" ht="30">
      <c r="X341" s="294">
        <v>417</v>
      </c>
      <c r="Y341" s="294" t="s">
        <v>1328</v>
      </c>
      <c r="Z341" s="294" t="s">
        <v>923</v>
      </c>
      <c r="AA341" s="294" t="s">
        <v>233</v>
      </c>
      <c r="AB341" s="294" t="s">
        <v>776</v>
      </c>
      <c r="AC341" s="294">
        <v>0</v>
      </c>
      <c r="AD341" s="296">
        <v>6.9513888888888889E-2</v>
      </c>
      <c r="AE341" s="294">
        <v>8.9909999999999997</v>
      </c>
      <c r="AF341" s="294">
        <v>342</v>
      </c>
    </row>
    <row r="342" spans="24:32">
      <c r="X342" s="294">
        <v>193</v>
      </c>
      <c r="Y342" s="294" t="s">
        <v>1329</v>
      </c>
      <c r="Z342" s="294" t="s">
        <v>1330</v>
      </c>
      <c r="AA342" s="294" t="s">
        <v>896</v>
      </c>
      <c r="AB342" s="294" t="s">
        <v>776</v>
      </c>
      <c r="AC342" s="294">
        <v>0</v>
      </c>
      <c r="AD342" s="296">
        <v>6.9548611111111117E-2</v>
      </c>
      <c r="AE342" s="294">
        <v>8.9870000000000001</v>
      </c>
      <c r="AF342" s="294">
        <v>343</v>
      </c>
    </row>
    <row r="343" spans="24:32" ht="30">
      <c r="X343" s="294">
        <v>375</v>
      </c>
      <c r="Y343" s="294" t="s">
        <v>1331</v>
      </c>
      <c r="Z343" s="294" t="s">
        <v>1332</v>
      </c>
      <c r="AA343" s="294" t="s">
        <v>896</v>
      </c>
      <c r="AB343" s="294" t="s">
        <v>789</v>
      </c>
      <c r="AC343" s="294" t="s">
        <v>946</v>
      </c>
      <c r="AD343" s="296">
        <v>6.957175925925925E-2</v>
      </c>
      <c r="AE343" s="294">
        <v>8.984</v>
      </c>
      <c r="AF343" s="294">
        <v>344</v>
      </c>
    </row>
    <row r="344" spans="24:32">
      <c r="X344" s="294">
        <v>313</v>
      </c>
      <c r="Y344" s="294" t="s">
        <v>1327</v>
      </c>
      <c r="Z344" s="294" t="s">
        <v>1333</v>
      </c>
      <c r="AA344" s="294" t="s">
        <v>896</v>
      </c>
      <c r="AB344" s="294" t="s">
        <v>838</v>
      </c>
      <c r="AC344" s="294">
        <v>0</v>
      </c>
      <c r="AD344" s="296">
        <v>6.9606481481481478E-2</v>
      </c>
      <c r="AE344" s="294">
        <v>8.9789999999999992</v>
      </c>
      <c r="AF344" s="294">
        <v>345</v>
      </c>
    </row>
    <row r="345" spans="24:32">
      <c r="X345" s="294">
        <v>311</v>
      </c>
      <c r="Y345" s="294" t="s">
        <v>856</v>
      </c>
      <c r="Z345" s="294" t="s">
        <v>1271</v>
      </c>
      <c r="AA345" s="294" t="s">
        <v>896</v>
      </c>
      <c r="AB345" s="294" t="s">
        <v>838</v>
      </c>
      <c r="AC345" s="294">
        <v>0</v>
      </c>
      <c r="AD345" s="296">
        <v>6.9629629629629639E-2</v>
      </c>
      <c r="AE345" s="294">
        <v>8.9760000000000009</v>
      </c>
      <c r="AF345" s="294">
        <v>346</v>
      </c>
    </row>
    <row r="346" spans="24:32">
      <c r="X346" s="294">
        <v>98</v>
      </c>
      <c r="Y346" s="294" t="s">
        <v>1334</v>
      </c>
      <c r="Z346" s="294" t="s">
        <v>1325</v>
      </c>
      <c r="AA346" s="294" t="s">
        <v>233</v>
      </c>
      <c r="AB346" s="294" t="s">
        <v>789</v>
      </c>
      <c r="AC346" s="294">
        <v>0</v>
      </c>
      <c r="AD346" s="296">
        <v>6.9652777777777772E-2</v>
      </c>
      <c r="AE346" s="294">
        <v>8.9730000000000008</v>
      </c>
      <c r="AF346" s="294">
        <v>347</v>
      </c>
    </row>
    <row r="347" spans="24:32">
      <c r="X347" s="294">
        <v>337</v>
      </c>
      <c r="Y347" s="294" t="s">
        <v>1335</v>
      </c>
      <c r="Z347" s="294" t="s">
        <v>1336</v>
      </c>
      <c r="AA347" s="294" t="s">
        <v>896</v>
      </c>
      <c r="AB347" s="294" t="s">
        <v>776</v>
      </c>
      <c r="AC347" s="294" t="s">
        <v>1337</v>
      </c>
      <c r="AD347" s="296">
        <v>6.9675925925925933E-2</v>
      </c>
      <c r="AE347" s="294">
        <v>8.9700000000000006</v>
      </c>
      <c r="AF347" s="294">
        <v>348</v>
      </c>
    </row>
    <row r="348" spans="24:32" ht="30">
      <c r="X348" s="294">
        <v>360</v>
      </c>
      <c r="Y348" s="294" t="s">
        <v>1338</v>
      </c>
      <c r="Z348" s="294" t="s">
        <v>1339</v>
      </c>
      <c r="AA348" s="294" t="s">
        <v>233</v>
      </c>
      <c r="AB348" s="294" t="s">
        <v>789</v>
      </c>
      <c r="AC348" s="294">
        <v>0</v>
      </c>
      <c r="AD348" s="296">
        <v>6.9699074074074066E-2</v>
      </c>
      <c r="AE348" s="294">
        <v>8.9670000000000005</v>
      </c>
      <c r="AF348" s="294">
        <v>349</v>
      </c>
    </row>
    <row r="349" spans="24:32">
      <c r="X349" s="294">
        <v>353</v>
      </c>
      <c r="Y349" s="294" t="s">
        <v>1209</v>
      </c>
      <c r="Z349" s="294" t="s">
        <v>1340</v>
      </c>
      <c r="AA349" s="294" t="s">
        <v>233</v>
      </c>
      <c r="AB349" s="294" t="s">
        <v>789</v>
      </c>
      <c r="AC349" s="294" t="s">
        <v>912</v>
      </c>
      <c r="AD349" s="296">
        <v>6.9733796296296294E-2</v>
      </c>
      <c r="AE349" s="294">
        <v>8.9629999999999992</v>
      </c>
      <c r="AF349" s="294">
        <v>350</v>
      </c>
    </row>
    <row r="350" spans="24:32">
      <c r="X350" s="294">
        <v>376</v>
      </c>
      <c r="Y350" s="294" t="s">
        <v>1341</v>
      </c>
      <c r="Z350" s="294" t="s">
        <v>1342</v>
      </c>
      <c r="AA350" s="294" t="s">
        <v>896</v>
      </c>
      <c r="AB350" s="294" t="s">
        <v>789</v>
      </c>
      <c r="AC350" s="294" t="s">
        <v>946</v>
      </c>
      <c r="AD350" s="296">
        <v>6.9768518518518521E-2</v>
      </c>
      <c r="AE350" s="294">
        <v>8.9580000000000002</v>
      </c>
      <c r="AF350" s="294">
        <v>351</v>
      </c>
    </row>
    <row r="351" spans="24:32">
      <c r="X351" s="294">
        <v>377</v>
      </c>
      <c r="Y351" s="294" t="s">
        <v>1341</v>
      </c>
      <c r="Z351" s="294" t="s">
        <v>1343</v>
      </c>
      <c r="AA351" s="294" t="s">
        <v>233</v>
      </c>
      <c r="AB351" s="294" t="s">
        <v>789</v>
      </c>
      <c r="AC351" s="294">
        <v>0</v>
      </c>
      <c r="AD351" s="296">
        <v>6.9814814814814816E-2</v>
      </c>
      <c r="AE351" s="294">
        <v>8.952</v>
      </c>
      <c r="AF351" s="294">
        <v>352</v>
      </c>
    </row>
    <row r="352" spans="24:32" ht="30">
      <c r="X352" s="294">
        <v>44</v>
      </c>
      <c r="Y352" s="294" t="s">
        <v>1344</v>
      </c>
      <c r="Z352" s="294" t="s">
        <v>1148</v>
      </c>
      <c r="AA352" s="294" t="s">
        <v>233</v>
      </c>
      <c r="AB352" s="294" t="s">
        <v>838</v>
      </c>
      <c r="AC352" s="294" t="s">
        <v>1345</v>
      </c>
      <c r="AD352" s="296">
        <v>6.9837962962962963E-2</v>
      </c>
      <c r="AE352" s="294">
        <v>8.9489999999999998</v>
      </c>
      <c r="AF352" s="294">
        <v>353</v>
      </c>
    </row>
    <row r="353" spans="24:32">
      <c r="X353" s="294">
        <v>71</v>
      </c>
      <c r="Y353" s="294" t="s">
        <v>1346</v>
      </c>
      <c r="Z353" s="294" t="s">
        <v>1347</v>
      </c>
      <c r="AA353" s="294" t="s">
        <v>233</v>
      </c>
      <c r="AB353" s="294" t="s">
        <v>1348</v>
      </c>
      <c r="AC353" s="294" t="s">
        <v>946</v>
      </c>
      <c r="AD353" s="296">
        <v>6.986111111111111E-2</v>
      </c>
      <c r="AE353" s="294">
        <v>8.9459999999999997</v>
      </c>
      <c r="AF353" s="294">
        <v>354</v>
      </c>
    </row>
    <row r="354" spans="24:32">
      <c r="X354" s="294">
        <v>110</v>
      </c>
      <c r="Y354" s="294" t="s">
        <v>1349</v>
      </c>
      <c r="Z354" s="294" t="s">
        <v>1148</v>
      </c>
      <c r="AA354" s="294" t="s">
        <v>233</v>
      </c>
      <c r="AB354" s="294" t="s">
        <v>789</v>
      </c>
      <c r="AC354" s="294">
        <v>0</v>
      </c>
      <c r="AD354" s="296">
        <v>6.9907407407407404E-2</v>
      </c>
      <c r="AE354" s="294">
        <v>8.94</v>
      </c>
      <c r="AF354" s="294">
        <v>355</v>
      </c>
    </row>
    <row r="355" spans="24:32" ht="45">
      <c r="X355" s="294">
        <v>100</v>
      </c>
      <c r="Y355" s="294" t="s">
        <v>1350</v>
      </c>
      <c r="Z355" s="294" t="s">
        <v>979</v>
      </c>
      <c r="AA355" s="294" t="s">
        <v>233</v>
      </c>
      <c r="AB355" s="294" t="s">
        <v>789</v>
      </c>
      <c r="AC355" s="294" t="s">
        <v>1292</v>
      </c>
      <c r="AD355" s="296">
        <v>6.9942129629629632E-2</v>
      </c>
      <c r="AE355" s="294">
        <v>8.9359999999999999</v>
      </c>
      <c r="AF355" s="294">
        <v>356</v>
      </c>
    </row>
    <row r="356" spans="24:32">
      <c r="X356" s="294">
        <v>38</v>
      </c>
      <c r="Y356" s="294" t="s">
        <v>1351</v>
      </c>
      <c r="Z356" s="294" t="s">
        <v>1166</v>
      </c>
      <c r="AA356" s="294" t="s">
        <v>896</v>
      </c>
      <c r="AB356" s="294" t="s">
        <v>776</v>
      </c>
      <c r="AC356" s="294">
        <v>0</v>
      </c>
      <c r="AD356" s="296">
        <v>6.9965277777777779E-2</v>
      </c>
      <c r="AE356" s="294">
        <v>8.9329999999999998</v>
      </c>
      <c r="AF356" s="294">
        <v>357</v>
      </c>
    </row>
    <row r="357" spans="24:32">
      <c r="X357" s="294">
        <v>213</v>
      </c>
      <c r="Y357" s="294" t="s">
        <v>1270</v>
      </c>
      <c r="Z357" s="294" t="s">
        <v>1352</v>
      </c>
      <c r="AA357" s="294" t="s">
        <v>896</v>
      </c>
      <c r="AB357" s="294" t="s">
        <v>838</v>
      </c>
      <c r="AC357" s="294">
        <v>0</v>
      </c>
      <c r="AD357" s="296">
        <v>6.997685185185186E-2</v>
      </c>
      <c r="AE357" s="294">
        <v>8.9320000000000004</v>
      </c>
      <c r="AF357" s="294">
        <v>358</v>
      </c>
    </row>
    <row r="358" spans="24:32">
      <c r="X358" s="294">
        <v>212</v>
      </c>
      <c r="Y358" s="294" t="s">
        <v>1353</v>
      </c>
      <c r="Z358" s="294" t="s">
        <v>1354</v>
      </c>
      <c r="AA358" s="294" t="s">
        <v>896</v>
      </c>
      <c r="AB358" s="294" t="s">
        <v>776</v>
      </c>
      <c r="AC358" s="294">
        <v>0</v>
      </c>
      <c r="AD358" s="296">
        <v>6.9999999999999993E-2</v>
      </c>
      <c r="AE358" s="294">
        <v>8.9290000000000003</v>
      </c>
      <c r="AF358" s="294">
        <v>359</v>
      </c>
    </row>
    <row r="359" spans="24:32">
      <c r="X359" s="294">
        <v>459</v>
      </c>
      <c r="Y359" s="294" t="s">
        <v>1355</v>
      </c>
      <c r="Z359" s="294" t="s">
        <v>814</v>
      </c>
      <c r="AA359" s="294" t="s">
        <v>233</v>
      </c>
      <c r="AB359" s="294" t="s">
        <v>789</v>
      </c>
      <c r="AC359" s="294">
        <v>0</v>
      </c>
      <c r="AD359" s="296">
        <v>7.0023148148148154E-2</v>
      </c>
      <c r="AE359" s="294">
        <v>8.9260000000000002</v>
      </c>
      <c r="AF359" s="294">
        <v>360</v>
      </c>
    </row>
    <row r="360" spans="24:32">
      <c r="X360" s="294">
        <v>315</v>
      </c>
      <c r="Y360" s="294" t="s">
        <v>1356</v>
      </c>
      <c r="Z360" s="294" t="s">
        <v>1251</v>
      </c>
      <c r="AA360" s="294" t="s">
        <v>896</v>
      </c>
      <c r="AB360" s="294" t="s">
        <v>776</v>
      </c>
      <c r="AC360" s="294" t="s">
        <v>877</v>
      </c>
      <c r="AD360" s="296">
        <v>7.0069444444444448E-2</v>
      </c>
      <c r="AE360" s="294">
        <v>8.92</v>
      </c>
      <c r="AF360" s="294">
        <v>361</v>
      </c>
    </row>
    <row r="361" spans="24:32">
      <c r="X361" s="294">
        <v>320</v>
      </c>
      <c r="Y361" s="294" t="s">
        <v>1357</v>
      </c>
      <c r="Z361" s="294" t="s">
        <v>809</v>
      </c>
      <c r="AA361" s="294" t="s">
        <v>233</v>
      </c>
      <c r="AB361" s="294" t="s">
        <v>838</v>
      </c>
      <c r="AC361" s="294" t="s">
        <v>974</v>
      </c>
      <c r="AD361" s="296">
        <v>7.0150462962962956E-2</v>
      </c>
      <c r="AE361" s="294">
        <v>8.9090000000000007</v>
      </c>
      <c r="AF361" s="294">
        <v>362</v>
      </c>
    </row>
    <row r="362" spans="24:32">
      <c r="X362" s="294">
        <v>357</v>
      </c>
      <c r="Y362" s="294" t="s">
        <v>1020</v>
      </c>
      <c r="Z362" s="294" t="s">
        <v>860</v>
      </c>
      <c r="AA362" s="294" t="s">
        <v>233</v>
      </c>
      <c r="AB362" s="294" t="s">
        <v>776</v>
      </c>
      <c r="AC362" s="294">
        <v>0</v>
      </c>
      <c r="AD362" s="296">
        <v>7.0196759259259264E-2</v>
      </c>
      <c r="AE362" s="294">
        <v>8.9039999999999999</v>
      </c>
      <c r="AF362" s="294">
        <v>363</v>
      </c>
    </row>
    <row r="363" spans="24:32" ht="30">
      <c r="X363" s="294">
        <v>300</v>
      </c>
      <c r="Y363" s="294" t="s">
        <v>1358</v>
      </c>
      <c r="Z363" s="294" t="s">
        <v>976</v>
      </c>
      <c r="AA363" s="294" t="s">
        <v>233</v>
      </c>
      <c r="AB363" s="294" t="s">
        <v>838</v>
      </c>
      <c r="AC363" s="294">
        <v>0</v>
      </c>
      <c r="AD363" s="296">
        <v>7.0219907407407411E-2</v>
      </c>
      <c r="AE363" s="294">
        <v>8.9009999999999998</v>
      </c>
      <c r="AF363" s="294">
        <v>364</v>
      </c>
    </row>
    <row r="364" spans="24:32">
      <c r="X364" s="294">
        <v>42</v>
      </c>
      <c r="Y364" s="294" t="s">
        <v>1359</v>
      </c>
      <c r="Z364" s="294" t="s">
        <v>1360</v>
      </c>
      <c r="AA364" s="294" t="s">
        <v>896</v>
      </c>
      <c r="AB364" s="294" t="s">
        <v>776</v>
      </c>
      <c r="AC364" s="294">
        <v>0</v>
      </c>
      <c r="AD364" s="296">
        <v>7.0358796296296308E-2</v>
      </c>
      <c r="AE364" s="294">
        <v>8.8829999999999991</v>
      </c>
      <c r="AF364" s="294">
        <v>365</v>
      </c>
    </row>
    <row r="365" spans="24:32">
      <c r="X365" s="294">
        <v>43</v>
      </c>
      <c r="Y365" s="294" t="s">
        <v>1359</v>
      </c>
      <c r="Z365" s="294" t="s">
        <v>1354</v>
      </c>
      <c r="AA365" s="294" t="s">
        <v>896</v>
      </c>
      <c r="AB365" s="294" t="s">
        <v>776</v>
      </c>
      <c r="AC365" s="294">
        <v>0</v>
      </c>
      <c r="AD365" s="296">
        <v>7.0370370370370375E-2</v>
      </c>
      <c r="AE365" s="294">
        <v>8.8819999999999997</v>
      </c>
      <c r="AF365" s="294">
        <v>366</v>
      </c>
    </row>
    <row r="366" spans="24:32" ht="30">
      <c r="X366" s="294">
        <v>122</v>
      </c>
      <c r="Y366" s="294" t="s">
        <v>1100</v>
      </c>
      <c r="Z366" s="294" t="s">
        <v>882</v>
      </c>
      <c r="AA366" s="294" t="s">
        <v>233</v>
      </c>
      <c r="AB366" s="294" t="s">
        <v>789</v>
      </c>
      <c r="AC366" s="294" t="s">
        <v>1057</v>
      </c>
      <c r="AD366" s="296">
        <v>7.0405092592592589E-2</v>
      </c>
      <c r="AE366" s="294">
        <v>8.8770000000000007</v>
      </c>
      <c r="AF366" s="294">
        <v>367</v>
      </c>
    </row>
    <row r="367" spans="24:32">
      <c r="X367" s="294">
        <v>2</v>
      </c>
      <c r="Y367" s="294" t="s">
        <v>1361</v>
      </c>
      <c r="Z367" s="294" t="s">
        <v>1362</v>
      </c>
      <c r="AA367" s="294" t="s">
        <v>233</v>
      </c>
      <c r="AB367" s="294" t="s">
        <v>776</v>
      </c>
      <c r="AC367" s="294">
        <v>0</v>
      </c>
      <c r="AD367" s="296">
        <v>7.0451388888888897E-2</v>
      </c>
      <c r="AE367" s="294">
        <v>8.8710000000000004</v>
      </c>
      <c r="AF367" s="294">
        <v>368</v>
      </c>
    </row>
    <row r="368" spans="24:32">
      <c r="X368" s="294">
        <v>294</v>
      </c>
      <c r="Y368" s="294" t="s">
        <v>1363</v>
      </c>
      <c r="Z368" s="294" t="s">
        <v>1037</v>
      </c>
      <c r="AA368" s="294" t="s">
        <v>233</v>
      </c>
      <c r="AB368" s="294" t="s">
        <v>838</v>
      </c>
      <c r="AC368" s="294">
        <v>0</v>
      </c>
      <c r="AD368" s="296">
        <v>7.0509259259259258E-2</v>
      </c>
      <c r="AE368" s="294">
        <v>8.8640000000000008</v>
      </c>
      <c r="AF368" s="294">
        <v>369</v>
      </c>
    </row>
    <row r="369" spans="24:32" ht="30">
      <c r="X369" s="294">
        <v>19</v>
      </c>
      <c r="Y369" s="294" t="s">
        <v>1364</v>
      </c>
      <c r="Z369" s="294" t="s">
        <v>1365</v>
      </c>
      <c r="AA369" s="294" t="s">
        <v>896</v>
      </c>
      <c r="AB369" s="294" t="s">
        <v>776</v>
      </c>
      <c r="AC369" s="294">
        <v>0</v>
      </c>
      <c r="AD369" s="296">
        <v>7.0543981481481485E-2</v>
      </c>
      <c r="AE369" s="294">
        <v>8.86</v>
      </c>
      <c r="AF369" s="294">
        <v>370</v>
      </c>
    </row>
    <row r="370" spans="24:32" ht="30">
      <c r="X370" s="294">
        <v>256</v>
      </c>
      <c r="Y370" s="294" t="s">
        <v>1038</v>
      </c>
      <c r="Z370" s="294" t="s">
        <v>1366</v>
      </c>
      <c r="AA370" s="294" t="s">
        <v>896</v>
      </c>
      <c r="AB370" s="294" t="s">
        <v>776</v>
      </c>
      <c r="AC370" s="294">
        <v>0</v>
      </c>
      <c r="AD370" s="296">
        <v>7.0729166666666662E-2</v>
      </c>
      <c r="AE370" s="294">
        <v>8.8369999999999997</v>
      </c>
      <c r="AF370" s="294">
        <v>371</v>
      </c>
    </row>
    <row r="371" spans="24:32">
      <c r="X371" s="294">
        <v>162</v>
      </c>
      <c r="Y371" s="294" t="s">
        <v>1367</v>
      </c>
      <c r="Z371" s="294" t="s">
        <v>1063</v>
      </c>
      <c r="AA371" s="294" t="s">
        <v>896</v>
      </c>
      <c r="AB371" s="294" t="s">
        <v>789</v>
      </c>
      <c r="AC371" s="294">
        <v>0</v>
      </c>
      <c r="AD371" s="296">
        <v>7.076388888888889E-2</v>
      </c>
      <c r="AE371" s="294">
        <v>8.8320000000000007</v>
      </c>
      <c r="AF371" s="294">
        <v>372</v>
      </c>
    </row>
    <row r="372" spans="24:32">
      <c r="X372" s="294">
        <v>264</v>
      </c>
      <c r="Y372" s="294" t="s">
        <v>1368</v>
      </c>
      <c r="Z372" s="294" t="s">
        <v>1369</v>
      </c>
      <c r="AA372" s="294" t="s">
        <v>233</v>
      </c>
      <c r="AB372" s="294" t="s">
        <v>1085</v>
      </c>
      <c r="AC372" s="294">
        <v>0</v>
      </c>
      <c r="AD372" s="296">
        <v>7.0787037037037037E-2</v>
      </c>
      <c r="AE372" s="294">
        <v>8.8290000000000006</v>
      </c>
      <c r="AF372" s="294">
        <v>373</v>
      </c>
    </row>
    <row r="373" spans="24:32">
      <c r="X373" s="294">
        <v>452</v>
      </c>
      <c r="Y373" s="294" t="s">
        <v>1370</v>
      </c>
      <c r="Z373" s="294" t="s">
        <v>919</v>
      </c>
      <c r="AA373" s="294" t="s">
        <v>233</v>
      </c>
      <c r="AB373" s="294" t="s">
        <v>776</v>
      </c>
      <c r="AC373" s="294">
        <v>0</v>
      </c>
      <c r="AD373" s="296">
        <v>7.0821759259259265E-2</v>
      </c>
      <c r="AE373" s="294">
        <v>8.8249999999999993</v>
      </c>
      <c r="AF373" s="294">
        <v>374</v>
      </c>
    </row>
    <row r="374" spans="24:32" ht="30">
      <c r="X374" s="294">
        <v>305</v>
      </c>
      <c r="Y374" s="294" t="s">
        <v>1371</v>
      </c>
      <c r="Z374" s="294" t="s">
        <v>934</v>
      </c>
      <c r="AA374" s="294" t="s">
        <v>233</v>
      </c>
      <c r="AB374" s="294" t="s">
        <v>789</v>
      </c>
      <c r="AC374" s="294" t="s">
        <v>797</v>
      </c>
      <c r="AD374" s="296">
        <v>7.0844907407407412E-2</v>
      </c>
      <c r="AE374" s="294">
        <v>8.8219999999999992</v>
      </c>
      <c r="AF374" s="294">
        <v>375</v>
      </c>
    </row>
    <row r="375" spans="24:32" ht="30">
      <c r="X375" s="294">
        <v>338</v>
      </c>
      <c r="Y375" s="294" t="s">
        <v>1372</v>
      </c>
      <c r="Z375" s="294" t="s">
        <v>1373</v>
      </c>
      <c r="AA375" s="294" t="s">
        <v>896</v>
      </c>
      <c r="AB375" s="294" t="s">
        <v>776</v>
      </c>
      <c r="AC375" s="294">
        <v>0</v>
      </c>
      <c r="AD375" s="296">
        <v>7.0879629629629626E-2</v>
      </c>
      <c r="AE375" s="294">
        <v>8.8179999999999996</v>
      </c>
      <c r="AF375" s="294">
        <v>376</v>
      </c>
    </row>
    <row r="376" spans="24:32">
      <c r="X376" s="294">
        <v>450</v>
      </c>
      <c r="Y376" s="294" t="s">
        <v>1374</v>
      </c>
      <c r="Z376" s="294" t="s">
        <v>1244</v>
      </c>
      <c r="AA376" s="294" t="s">
        <v>896</v>
      </c>
      <c r="AB376" s="294" t="s">
        <v>776</v>
      </c>
      <c r="AC376" s="294">
        <v>0</v>
      </c>
      <c r="AD376" s="296">
        <v>7.0972222222222228E-2</v>
      </c>
      <c r="AE376" s="294">
        <v>8.8059999999999992</v>
      </c>
      <c r="AF376" s="294">
        <v>377</v>
      </c>
    </row>
    <row r="377" spans="24:32" ht="60">
      <c r="X377" s="294">
        <v>497</v>
      </c>
      <c r="Y377" s="294" t="s">
        <v>1375</v>
      </c>
      <c r="Z377" s="294" t="s">
        <v>1376</v>
      </c>
      <c r="AA377" s="294" t="s">
        <v>896</v>
      </c>
      <c r="AB377" s="294" t="s">
        <v>776</v>
      </c>
      <c r="AC377" s="294" t="s">
        <v>1377</v>
      </c>
      <c r="AD377" s="296">
        <v>7.1006944444444442E-2</v>
      </c>
      <c r="AE377" s="294">
        <v>8.8019999999999996</v>
      </c>
      <c r="AF377" s="294">
        <v>378</v>
      </c>
    </row>
    <row r="378" spans="24:32" ht="45">
      <c r="X378" s="294">
        <v>136</v>
      </c>
      <c r="Y378" s="294" t="s">
        <v>999</v>
      </c>
      <c r="Z378" s="294" t="s">
        <v>1378</v>
      </c>
      <c r="AA378" s="294" t="s">
        <v>896</v>
      </c>
      <c r="AB378" s="294" t="s">
        <v>826</v>
      </c>
      <c r="AC378" s="294" t="s">
        <v>969</v>
      </c>
      <c r="AD378" s="296">
        <v>7.1064814814814817E-2</v>
      </c>
      <c r="AE378" s="294">
        <v>8.7949999999999999</v>
      </c>
      <c r="AF378" s="294">
        <v>379</v>
      </c>
    </row>
    <row r="379" spans="24:32">
      <c r="X379" s="294">
        <v>427</v>
      </c>
      <c r="Y379" s="294" t="s">
        <v>1379</v>
      </c>
      <c r="Z379" s="294" t="s">
        <v>911</v>
      </c>
      <c r="AA379" s="294" t="s">
        <v>233</v>
      </c>
      <c r="AB379" s="294" t="s">
        <v>789</v>
      </c>
      <c r="AC379" s="294">
        <v>0</v>
      </c>
      <c r="AD379" s="296">
        <v>7.1122685185185178E-2</v>
      </c>
      <c r="AE379" s="294">
        <v>8.7880000000000003</v>
      </c>
      <c r="AF379" s="294">
        <v>380</v>
      </c>
    </row>
    <row r="380" spans="24:32" ht="30">
      <c r="X380" s="294">
        <v>190</v>
      </c>
      <c r="Y380" s="294" t="s">
        <v>1380</v>
      </c>
      <c r="Z380" s="294" t="s">
        <v>1071</v>
      </c>
      <c r="AA380" s="294" t="s">
        <v>233</v>
      </c>
      <c r="AB380" s="294" t="s">
        <v>789</v>
      </c>
      <c r="AC380" s="294" t="s">
        <v>1316</v>
      </c>
      <c r="AD380" s="296">
        <v>7.1192129629629633E-2</v>
      </c>
      <c r="AE380" s="294">
        <v>8.7789999999999999</v>
      </c>
      <c r="AF380" s="294">
        <v>381</v>
      </c>
    </row>
    <row r="381" spans="24:32">
      <c r="X381" s="294">
        <v>273</v>
      </c>
      <c r="Y381" s="294" t="s">
        <v>1381</v>
      </c>
      <c r="Z381" s="294" t="s">
        <v>1382</v>
      </c>
      <c r="AA381" s="294" t="s">
        <v>233</v>
      </c>
      <c r="AB381" s="294" t="s">
        <v>789</v>
      </c>
      <c r="AC381" s="294">
        <v>0</v>
      </c>
      <c r="AD381" s="296">
        <v>7.1226851851851861E-2</v>
      </c>
      <c r="AE381" s="294">
        <v>8.7750000000000004</v>
      </c>
      <c r="AF381" s="294">
        <v>382</v>
      </c>
    </row>
    <row r="382" spans="24:32">
      <c r="X382" s="294">
        <v>26</v>
      </c>
      <c r="Y382" s="294" t="s">
        <v>1383</v>
      </c>
      <c r="Z382" s="294" t="s">
        <v>1161</v>
      </c>
      <c r="AA382" s="294" t="s">
        <v>233</v>
      </c>
      <c r="AB382" s="294" t="s">
        <v>1085</v>
      </c>
      <c r="AC382" s="294">
        <v>0</v>
      </c>
      <c r="AD382" s="296">
        <v>7.1458333333333332E-2</v>
      </c>
      <c r="AE382" s="294">
        <v>8.7460000000000004</v>
      </c>
      <c r="AF382" s="294">
        <v>383</v>
      </c>
    </row>
    <row r="383" spans="24:32" ht="30">
      <c r="X383" s="294">
        <v>438</v>
      </c>
      <c r="Y383" s="294" t="s">
        <v>1384</v>
      </c>
      <c r="Z383" s="294" t="s">
        <v>1385</v>
      </c>
      <c r="AA383" s="294" t="s">
        <v>896</v>
      </c>
      <c r="AB383" s="294" t="s">
        <v>826</v>
      </c>
      <c r="AC383" s="294" t="s">
        <v>1386</v>
      </c>
      <c r="AD383" s="296">
        <v>7.1574074074074082E-2</v>
      </c>
      <c r="AE383" s="294">
        <v>8.7319999999999993</v>
      </c>
      <c r="AF383" s="294">
        <v>384</v>
      </c>
    </row>
    <row r="384" spans="24:32" ht="30">
      <c r="X384" s="294">
        <v>246</v>
      </c>
      <c r="Y384" s="294" t="s">
        <v>1387</v>
      </c>
      <c r="Z384" s="294" t="s">
        <v>1388</v>
      </c>
      <c r="AA384" s="294" t="s">
        <v>233</v>
      </c>
      <c r="AB384" s="294" t="s">
        <v>838</v>
      </c>
      <c r="AC384" s="294" t="s">
        <v>955</v>
      </c>
      <c r="AD384" s="296">
        <v>7.1689814814814817E-2</v>
      </c>
      <c r="AE384" s="294">
        <v>8.718</v>
      </c>
      <c r="AF384" s="294">
        <v>385</v>
      </c>
    </row>
    <row r="385" spans="24:32">
      <c r="X385" s="294">
        <v>310</v>
      </c>
      <c r="Y385" s="294" t="s">
        <v>1389</v>
      </c>
      <c r="Z385" s="294" t="s">
        <v>954</v>
      </c>
      <c r="AA385" s="294" t="s">
        <v>233</v>
      </c>
      <c r="AB385" s="294" t="s">
        <v>838</v>
      </c>
      <c r="AC385" s="294">
        <v>0</v>
      </c>
      <c r="AD385" s="296">
        <v>7.1759259259259259E-2</v>
      </c>
      <c r="AE385" s="294">
        <v>8.7100000000000009</v>
      </c>
      <c r="AF385" s="294">
        <v>386</v>
      </c>
    </row>
    <row r="386" spans="24:32" ht="45">
      <c r="X386" s="294">
        <v>342</v>
      </c>
      <c r="Y386" s="294" t="s">
        <v>1390</v>
      </c>
      <c r="Z386" s="294" t="s">
        <v>1391</v>
      </c>
      <c r="AA386" s="294" t="s">
        <v>233</v>
      </c>
      <c r="AB386" s="294" t="s">
        <v>826</v>
      </c>
      <c r="AC386" s="294" t="s">
        <v>969</v>
      </c>
      <c r="AD386" s="296">
        <v>7.1782407407407406E-2</v>
      </c>
      <c r="AE386" s="294">
        <v>8.7070000000000007</v>
      </c>
      <c r="AF386" s="294">
        <v>387</v>
      </c>
    </row>
    <row r="387" spans="24:32" ht="45">
      <c r="X387" s="294">
        <v>125</v>
      </c>
      <c r="Y387" s="294" t="s">
        <v>1392</v>
      </c>
      <c r="Z387" s="294" t="s">
        <v>1393</v>
      </c>
      <c r="AA387" s="294" t="s">
        <v>233</v>
      </c>
      <c r="AB387" s="294" t="s">
        <v>838</v>
      </c>
      <c r="AC387" s="294" t="s">
        <v>1394</v>
      </c>
      <c r="AD387" s="296">
        <v>7.1805555555555553E-2</v>
      </c>
      <c r="AE387" s="294">
        <v>8.7040000000000006</v>
      </c>
      <c r="AF387" s="294">
        <v>388</v>
      </c>
    </row>
    <row r="388" spans="24:32">
      <c r="X388" s="294">
        <v>77</v>
      </c>
      <c r="Y388" s="294" t="s">
        <v>1030</v>
      </c>
      <c r="Z388" s="294" t="s">
        <v>1395</v>
      </c>
      <c r="AA388" s="294" t="s">
        <v>896</v>
      </c>
      <c r="AB388" s="294" t="s">
        <v>789</v>
      </c>
      <c r="AC388" s="294">
        <v>0</v>
      </c>
      <c r="AD388" s="296">
        <v>7.2048611111111105E-2</v>
      </c>
      <c r="AE388" s="294">
        <v>8.6750000000000007</v>
      </c>
      <c r="AF388" s="294">
        <v>389</v>
      </c>
    </row>
    <row r="389" spans="24:32">
      <c r="X389" s="294">
        <v>208</v>
      </c>
      <c r="Y389" s="294" t="s">
        <v>1396</v>
      </c>
      <c r="Z389" s="294" t="s">
        <v>781</v>
      </c>
      <c r="AA389" s="294" t="s">
        <v>896</v>
      </c>
      <c r="AB389" s="294" t="s">
        <v>776</v>
      </c>
      <c r="AC389" s="294">
        <v>0</v>
      </c>
      <c r="AD389" s="296">
        <v>7.2187500000000002E-2</v>
      </c>
      <c r="AE389" s="294">
        <v>8.6579999999999995</v>
      </c>
      <c r="AF389" s="294">
        <v>390</v>
      </c>
    </row>
    <row r="390" spans="24:32">
      <c r="X390" s="294">
        <v>175</v>
      </c>
      <c r="Y390" s="294" t="s">
        <v>1397</v>
      </c>
      <c r="Z390" s="294" t="s">
        <v>860</v>
      </c>
      <c r="AA390" s="294" t="s">
        <v>233</v>
      </c>
      <c r="AB390" s="294" t="s">
        <v>776</v>
      </c>
      <c r="AC390" s="294">
        <v>0</v>
      </c>
      <c r="AD390" s="296">
        <v>7.2314814814814818E-2</v>
      </c>
      <c r="AE390" s="294">
        <v>8.6430000000000007</v>
      </c>
      <c r="AF390" s="294">
        <v>391</v>
      </c>
    </row>
    <row r="391" spans="24:32" ht="30">
      <c r="X391" s="294">
        <v>178</v>
      </c>
      <c r="Y391" s="294" t="s">
        <v>1253</v>
      </c>
      <c r="Z391" s="294" t="s">
        <v>1134</v>
      </c>
      <c r="AA391" s="294" t="s">
        <v>896</v>
      </c>
      <c r="AB391" s="294" t="s">
        <v>838</v>
      </c>
      <c r="AC391" s="294" t="s">
        <v>946</v>
      </c>
      <c r="AD391" s="296">
        <v>7.2384259259259259E-2</v>
      </c>
      <c r="AE391" s="294">
        <v>8.6340000000000003</v>
      </c>
      <c r="AF391" s="294">
        <v>392</v>
      </c>
    </row>
    <row r="392" spans="24:32">
      <c r="X392" s="294">
        <v>276</v>
      </c>
      <c r="Y392" s="294" t="s">
        <v>1398</v>
      </c>
      <c r="Z392" s="294" t="s">
        <v>1226</v>
      </c>
      <c r="AA392" s="294" t="s">
        <v>896</v>
      </c>
      <c r="AB392" s="294" t="s">
        <v>789</v>
      </c>
      <c r="AC392" s="294">
        <v>0</v>
      </c>
      <c r="AD392" s="296">
        <v>7.2534722222222223E-2</v>
      </c>
      <c r="AE392" s="294">
        <v>8.6170000000000009</v>
      </c>
      <c r="AF392" s="294">
        <v>393</v>
      </c>
    </row>
    <row r="393" spans="24:32" ht="30">
      <c r="X393" s="294">
        <v>229</v>
      </c>
      <c r="Y393" s="294" t="s">
        <v>1194</v>
      </c>
      <c r="Z393" s="294" t="s">
        <v>1399</v>
      </c>
      <c r="AA393" s="294" t="s">
        <v>896</v>
      </c>
      <c r="AB393" s="294" t="s">
        <v>776</v>
      </c>
      <c r="AC393" s="294">
        <v>0</v>
      </c>
      <c r="AD393" s="296">
        <v>7.2615740740740745E-2</v>
      </c>
      <c r="AE393" s="294">
        <v>8.6069999999999993</v>
      </c>
      <c r="AF393" s="294">
        <v>394</v>
      </c>
    </row>
    <row r="394" spans="24:32">
      <c r="X394" s="294">
        <v>143</v>
      </c>
      <c r="Y394" s="294" t="s">
        <v>1400</v>
      </c>
      <c r="Z394" s="294" t="s">
        <v>934</v>
      </c>
      <c r="AA394" s="294" t="s">
        <v>233</v>
      </c>
      <c r="AB394" s="294" t="s">
        <v>789</v>
      </c>
      <c r="AC394" s="294">
        <v>0</v>
      </c>
      <c r="AD394" s="296">
        <v>7.2638888888888892E-2</v>
      </c>
      <c r="AE394" s="294">
        <v>8.6039999999999992</v>
      </c>
      <c r="AF394" s="294">
        <v>395</v>
      </c>
    </row>
    <row r="395" spans="24:32">
      <c r="X395" s="294">
        <v>319</v>
      </c>
      <c r="Y395" s="294" t="s">
        <v>1401</v>
      </c>
      <c r="Z395" s="294" t="s">
        <v>1084</v>
      </c>
      <c r="AA395" s="294" t="s">
        <v>233</v>
      </c>
      <c r="AB395" s="294" t="s">
        <v>789</v>
      </c>
      <c r="AC395" s="294">
        <v>0</v>
      </c>
      <c r="AD395" s="296">
        <v>7.273148148148148E-2</v>
      </c>
      <c r="AE395" s="294">
        <v>8.593</v>
      </c>
      <c r="AF395" s="294">
        <v>396</v>
      </c>
    </row>
    <row r="396" spans="24:32">
      <c r="X396" s="294">
        <v>56</v>
      </c>
      <c r="Y396" s="294" t="s">
        <v>1402</v>
      </c>
      <c r="Z396" s="294" t="s">
        <v>868</v>
      </c>
      <c r="AA396" s="294" t="s">
        <v>233</v>
      </c>
      <c r="AB396" s="294" t="s">
        <v>789</v>
      </c>
      <c r="AC396" s="294" t="s">
        <v>1064</v>
      </c>
      <c r="AD396" s="296">
        <v>7.2881944444444444E-2</v>
      </c>
      <c r="AE396" s="294">
        <v>8.5760000000000005</v>
      </c>
      <c r="AF396" s="294">
        <v>397</v>
      </c>
    </row>
    <row r="397" spans="24:32">
      <c r="X397" s="294">
        <v>333</v>
      </c>
      <c r="Y397" s="294" t="s">
        <v>1403</v>
      </c>
      <c r="Z397" s="294" t="s">
        <v>1360</v>
      </c>
      <c r="AA397" s="294" t="s">
        <v>896</v>
      </c>
      <c r="AB397" s="294" t="s">
        <v>776</v>
      </c>
      <c r="AC397" s="294">
        <v>0</v>
      </c>
      <c r="AD397" s="296">
        <v>7.2916666666666671E-2</v>
      </c>
      <c r="AE397" s="294">
        <v>8.5709999999999997</v>
      </c>
      <c r="AF397" s="294">
        <v>398</v>
      </c>
    </row>
    <row r="398" spans="24:32">
      <c r="X398" s="294">
        <v>181</v>
      </c>
      <c r="Y398" s="294" t="s">
        <v>1404</v>
      </c>
      <c r="Z398" s="294" t="s">
        <v>781</v>
      </c>
      <c r="AA398" s="294" t="s">
        <v>233</v>
      </c>
      <c r="AB398" s="294" t="s">
        <v>776</v>
      </c>
      <c r="AC398" s="294">
        <v>0</v>
      </c>
      <c r="AD398" s="296">
        <v>7.2986111111111113E-2</v>
      </c>
      <c r="AE398" s="294">
        <v>8.5630000000000006</v>
      </c>
      <c r="AF398" s="294">
        <v>399</v>
      </c>
    </row>
    <row r="399" spans="24:32" ht="60">
      <c r="X399" s="294">
        <v>148</v>
      </c>
      <c r="Y399" s="294" t="s">
        <v>1196</v>
      </c>
      <c r="Z399" s="294" t="s">
        <v>1291</v>
      </c>
      <c r="AA399" s="294" t="s">
        <v>896</v>
      </c>
      <c r="AB399" s="294" t="s">
        <v>789</v>
      </c>
      <c r="AC399" s="294" t="s">
        <v>1171</v>
      </c>
      <c r="AD399" s="296">
        <v>7.3020833333333326E-2</v>
      </c>
      <c r="AE399" s="294">
        <v>8.5589999999999993</v>
      </c>
      <c r="AF399" s="294">
        <v>400</v>
      </c>
    </row>
    <row r="400" spans="24:32" ht="30">
      <c r="X400" s="294">
        <v>282</v>
      </c>
      <c r="Y400" s="294" t="s">
        <v>1405</v>
      </c>
      <c r="Z400" s="294" t="s">
        <v>855</v>
      </c>
      <c r="AA400" s="294" t="s">
        <v>233</v>
      </c>
      <c r="AB400" s="294" t="s">
        <v>776</v>
      </c>
      <c r="AC400" s="294">
        <v>0</v>
      </c>
      <c r="AD400" s="296">
        <v>7.3229166666666665E-2</v>
      </c>
      <c r="AE400" s="294">
        <v>8.5350000000000001</v>
      </c>
      <c r="AF400" s="294">
        <v>401</v>
      </c>
    </row>
    <row r="401" spans="24:32" ht="30">
      <c r="X401" s="294">
        <v>248</v>
      </c>
      <c r="Y401" s="294" t="s">
        <v>1406</v>
      </c>
      <c r="Z401" s="294" t="s">
        <v>1407</v>
      </c>
      <c r="AA401" s="294" t="s">
        <v>896</v>
      </c>
      <c r="AB401" s="294"/>
      <c r="AC401" s="294">
        <v>0</v>
      </c>
      <c r="AD401" s="296">
        <v>7.3460648148148136E-2</v>
      </c>
      <c r="AE401" s="294">
        <v>8.5079999999999991</v>
      </c>
      <c r="AF401" s="294">
        <v>402</v>
      </c>
    </row>
    <row r="402" spans="24:32">
      <c r="X402" s="294">
        <v>249</v>
      </c>
      <c r="Y402" s="294" t="s">
        <v>1408</v>
      </c>
      <c r="Z402" s="294" t="s">
        <v>1071</v>
      </c>
      <c r="AA402" s="294" t="s">
        <v>233</v>
      </c>
      <c r="AB402" s="294" t="s">
        <v>1085</v>
      </c>
      <c r="AC402" s="294">
        <v>0</v>
      </c>
      <c r="AD402" s="296">
        <v>7.3483796296296297E-2</v>
      </c>
      <c r="AE402" s="294">
        <v>8.5050000000000008</v>
      </c>
      <c r="AF402" s="294">
        <v>403</v>
      </c>
    </row>
    <row r="403" spans="24:32">
      <c r="X403" s="294">
        <v>210</v>
      </c>
      <c r="Y403" s="294" t="s">
        <v>1409</v>
      </c>
      <c r="Z403" s="294" t="s">
        <v>1410</v>
      </c>
      <c r="AA403" s="294" t="s">
        <v>896</v>
      </c>
      <c r="AB403" s="294" t="s">
        <v>789</v>
      </c>
      <c r="AC403" s="294">
        <v>0</v>
      </c>
      <c r="AD403" s="296">
        <v>7.3495370370370364E-2</v>
      </c>
      <c r="AE403" s="294">
        <v>8.5039999999999996</v>
      </c>
      <c r="AF403" s="294">
        <v>404</v>
      </c>
    </row>
    <row r="404" spans="24:32">
      <c r="X404" s="294">
        <v>349</v>
      </c>
      <c r="Y404" s="294" t="s">
        <v>1411</v>
      </c>
      <c r="Z404" s="294" t="s">
        <v>1309</v>
      </c>
      <c r="AA404" s="294" t="s">
        <v>896</v>
      </c>
      <c r="AB404" s="294" t="s">
        <v>789</v>
      </c>
      <c r="AC404" s="294">
        <v>0</v>
      </c>
      <c r="AD404" s="296">
        <v>7.3553240740740738E-2</v>
      </c>
      <c r="AE404" s="294">
        <v>8.4969999999999999</v>
      </c>
      <c r="AF404" s="294">
        <v>405</v>
      </c>
    </row>
    <row r="405" spans="24:32">
      <c r="X405" s="294">
        <v>200</v>
      </c>
      <c r="Y405" s="294" t="s">
        <v>1411</v>
      </c>
      <c r="Z405" s="294" t="s">
        <v>1412</v>
      </c>
      <c r="AA405" s="294" t="s">
        <v>233</v>
      </c>
      <c r="AB405" s="294" t="s">
        <v>789</v>
      </c>
      <c r="AC405" s="294">
        <v>0</v>
      </c>
      <c r="AD405" s="296">
        <v>7.362268518518518E-2</v>
      </c>
      <c r="AE405" s="294">
        <v>8.4890000000000008</v>
      </c>
      <c r="AF405" s="294">
        <v>406</v>
      </c>
    </row>
    <row r="406" spans="24:32" ht="30">
      <c r="X406" s="294">
        <v>241</v>
      </c>
      <c r="Y406" s="294" t="s">
        <v>1413</v>
      </c>
      <c r="Z406" s="294" t="s">
        <v>1184</v>
      </c>
      <c r="AA406" s="294" t="s">
        <v>233</v>
      </c>
      <c r="AB406" s="294" t="s">
        <v>838</v>
      </c>
      <c r="AC406" s="294" t="s">
        <v>955</v>
      </c>
      <c r="AD406" s="296">
        <v>7.3680555555555555E-2</v>
      </c>
      <c r="AE406" s="294">
        <v>8.4830000000000005</v>
      </c>
      <c r="AF406" s="294">
        <v>407</v>
      </c>
    </row>
    <row r="407" spans="24:32" ht="30">
      <c r="X407" s="294">
        <v>3</v>
      </c>
      <c r="Y407" s="294" t="s">
        <v>1414</v>
      </c>
      <c r="Z407" s="294" t="s">
        <v>1415</v>
      </c>
      <c r="AA407" s="294" t="s">
        <v>896</v>
      </c>
      <c r="AB407" s="294" t="s">
        <v>776</v>
      </c>
      <c r="AC407" s="294" t="s">
        <v>1416</v>
      </c>
      <c r="AD407" s="296">
        <v>7.3703703703703702E-2</v>
      </c>
      <c r="AE407" s="294">
        <v>8.48</v>
      </c>
      <c r="AF407" s="294">
        <v>408</v>
      </c>
    </row>
    <row r="408" spans="24:32" ht="30">
      <c r="X408" s="294">
        <v>243</v>
      </c>
      <c r="Y408" s="294" t="s">
        <v>1417</v>
      </c>
      <c r="Z408" s="294" t="s">
        <v>1226</v>
      </c>
      <c r="AA408" s="294" t="s">
        <v>896</v>
      </c>
      <c r="AB408" s="294" t="s">
        <v>789</v>
      </c>
      <c r="AC408" s="294" t="s">
        <v>955</v>
      </c>
      <c r="AD408" s="296">
        <v>7.3715277777777768E-2</v>
      </c>
      <c r="AE408" s="294">
        <v>8.4789999999999992</v>
      </c>
      <c r="AF408" s="294">
        <v>409</v>
      </c>
    </row>
    <row r="409" spans="24:32">
      <c r="X409" s="294">
        <v>192</v>
      </c>
      <c r="Y409" s="294" t="s">
        <v>1418</v>
      </c>
      <c r="Z409" s="294" t="s">
        <v>1091</v>
      </c>
      <c r="AA409" s="294" t="s">
        <v>233</v>
      </c>
      <c r="AB409" s="294" t="s">
        <v>789</v>
      </c>
      <c r="AC409" s="294" t="s">
        <v>1419</v>
      </c>
      <c r="AD409" s="296">
        <v>7.3738425925925929E-2</v>
      </c>
      <c r="AE409" s="294">
        <v>8.4760000000000009</v>
      </c>
      <c r="AF409" s="294">
        <v>410</v>
      </c>
    </row>
    <row r="410" spans="24:32">
      <c r="X410" s="294">
        <v>164</v>
      </c>
      <c r="Y410" s="294" t="s">
        <v>1420</v>
      </c>
      <c r="Z410" s="294" t="s">
        <v>1421</v>
      </c>
      <c r="AA410" s="294" t="s">
        <v>896</v>
      </c>
      <c r="AB410" s="294" t="s">
        <v>789</v>
      </c>
      <c r="AC410" s="294">
        <v>0</v>
      </c>
      <c r="AD410" s="296">
        <v>7.3981481481481481E-2</v>
      </c>
      <c r="AE410" s="294">
        <v>8.4480000000000004</v>
      </c>
      <c r="AF410" s="294">
        <v>411</v>
      </c>
    </row>
    <row r="411" spans="24:32">
      <c r="X411" s="294">
        <v>373</v>
      </c>
      <c r="Y411" s="294" t="s">
        <v>1422</v>
      </c>
      <c r="Z411" s="294" t="s">
        <v>954</v>
      </c>
      <c r="AA411" s="294" t="s">
        <v>233</v>
      </c>
      <c r="AB411" s="294" t="s">
        <v>838</v>
      </c>
      <c r="AC411" s="294">
        <v>0</v>
      </c>
      <c r="AD411" s="296">
        <v>7.4189814814814806E-2</v>
      </c>
      <c r="AE411" s="294">
        <v>8.4239999999999995</v>
      </c>
      <c r="AF411" s="294">
        <v>412</v>
      </c>
    </row>
    <row r="412" spans="24:32">
      <c r="X412" s="294">
        <v>443</v>
      </c>
      <c r="Y412" s="294" t="s">
        <v>1423</v>
      </c>
      <c r="Z412" s="294" t="s">
        <v>1154</v>
      </c>
      <c r="AA412" s="294" t="s">
        <v>896</v>
      </c>
      <c r="AB412" s="294" t="s">
        <v>776</v>
      </c>
      <c r="AC412" s="294">
        <v>0</v>
      </c>
      <c r="AD412" s="296">
        <v>7.4270833333333341E-2</v>
      </c>
      <c r="AE412" s="294">
        <v>8.4149999999999991</v>
      </c>
      <c r="AF412" s="294">
        <v>413</v>
      </c>
    </row>
    <row r="413" spans="24:32">
      <c r="X413" s="294">
        <v>470</v>
      </c>
      <c r="Y413" s="294" t="s">
        <v>1423</v>
      </c>
      <c r="Z413" s="294" t="s">
        <v>863</v>
      </c>
      <c r="AA413" s="294" t="s">
        <v>233</v>
      </c>
      <c r="AB413" s="294" t="s">
        <v>838</v>
      </c>
      <c r="AC413" s="294">
        <v>0</v>
      </c>
      <c r="AD413" s="296">
        <v>7.4328703703703702E-2</v>
      </c>
      <c r="AE413" s="294">
        <v>8.4090000000000007</v>
      </c>
      <c r="AF413" s="294">
        <v>414</v>
      </c>
    </row>
    <row r="414" spans="24:32">
      <c r="X414" s="294">
        <v>309</v>
      </c>
      <c r="Y414" s="294" t="s">
        <v>1424</v>
      </c>
      <c r="Z414" s="294" t="s">
        <v>1425</v>
      </c>
      <c r="AA414" s="294" t="s">
        <v>896</v>
      </c>
      <c r="AB414" s="294" t="s">
        <v>789</v>
      </c>
      <c r="AC414" s="294" t="s">
        <v>1018</v>
      </c>
      <c r="AD414" s="296">
        <v>7.436342592592593E-2</v>
      </c>
      <c r="AE414" s="294">
        <v>8.4049999999999994</v>
      </c>
      <c r="AF414" s="294">
        <v>415</v>
      </c>
    </row>
    <row r="415" spans="24:32">
      <c r="X415" s="294">
        <v>379</v>
      </c>
      <c r="Y415" s="294" t="s">
        <v>1426</v>
      </c>
      <c r="Z415" s="294" t="s">
        <v>1309</v>
      </c>
      <c r="AA415" s="294" t="s">
        <v>896</v>
      </c>
      <c r="AB415" s="294" t="s">
        <v>789</v>
      </c>
      <c r="AC415" s="294" t="s">
        <v>877</v>
      </c>
      <c r="AD415" s="296">
        <v>7.4421296296296291E-2</v>
      </c>
      <c r="AE415" s="294">
        <v>8.3979999999999997</v>
      </c>
      <c r="AF415" s="294">
        <v>416</v>
      </c>
    </row>
    <row r="416" spans="24:32" ht="45">
      <c r="X416" s="294">
        <v>378</v>
      </c>
      <c r="Y416" s="294" t="s">
        <v>1426</v>
      </c>
      <c r="Z416" s="294" t="s">
        <v>857</v>
      </c>
      <c r="AA416" s="294" t="s">
        <v>233</v>
      </c>
      <c r="AB416" s="294" t="s">
        <v>789</v>
      </c>
      <c r="AC416" s="294" t="s">
        <v>1104</v>
      </c>
      <c r="AD416" s="296">
        <v>7.4432870370370371E-2</v>
      </c>
      <c r="AE416" s="294">
        <v>8.3970000000000002</v>
      </c>
      <c r="AF416" s="294">
        <v>417</v>
      </c>
    </row>
    <row r="417" spans="24:32">
      <c r="X417" s="294">
        <v>116</v>
      </c>
      <c r="Y417" s="294" t="s">
        <v>1020</v>
      </c>
      <c r="Z417" s="294" t="s">
        <v>851</v>
      </c>
      <c r="AA417" s="294" t="s">
        <v>233</v>
      </c>
      <c r="AB417" s="294" t="s">
        <v>776</v>
      </c>
      <c r="AC417" s="294">
        <v>0</v>
      </c>
      <c r="AD417" s="296">
        <v>7.4456018518518519E-2</v>
      </c>
      <c r="AE417" s="294">
        <v>8.3940000000000001</v>
      </c>
      <c r="AF417" s="294">
        <v>418</v>
      </c>
    </row>
    <row r="418" spans="24:32">
      <c r="X418" s="294">
        <v>160</v>
      </c>
      <c r="Y418" s="294" t="s">
        <v>1427</v>
      </c>
      <c r="Z418" s="294" t="s">
        <v>1026</v>
      </c>
      <c r="AA418" s="294" t="s">
        <v>233</v>
      </c>
      <c r="AB418" s="294" t="s">
        <v>789</v>
      </c>
      <c r="AC418" s="294">
        <v>0</v>
      </c>
      <c r="AD418" s="296">
        <v>7.4629629629629629E-2</v>
      </c>
      <c r="AE418" s="294">
        <v>8.375</v>
      </c>
      <c r="AF418" s="294">
        <v>419</v>
      </c>
    </row>
    <row r="419" spans="24:32" ht="30">
      <c r="X419" s="294">
        <v>159</v>
      </c>
      <c r="Y419" s="294" t="s">
        <v>1427</v>
      </c>
      <c r="Z419" s="294" t="s">
        <v>804</v>
      </c>
      <c r="AA419" s="294" t="s">
        <v>233</v>
      </c>
      <c r="AB419" s="294" t="s">
        <v>826</v>
      </c>
      <c r="AC419" s="294">
        <v>0</v>
      </c>
      <c r="AD419" s="296">
        <v>7.4652777777777776E-2</v>
      </c>
      <c r="AE419" s="294">
        <v>8.3719999999999999</v>
      </c>
      <c r="AF419" s="294">
        <v>420</v>
      </c>
    </row>
    <row r="420" spans="24:32" ht="30">
      <c r="X420" s="294">
        <v>387</v>
      </c>
      <c r="Y420" s="294" t="s">
        <v>1428</v>
      </c>
      <c r="Z420" s="294" t="s">
        <v>1429</v>
      </c>
      <c r="AA420" s="294" t="s">
        <v>233</v>
      </c>
      <c r="AB420" s="294" t="s">
        <v>880</v>
      </c>
      <c r="AC420" s="294">
        <v>0</v>
      </c>
      <c r="AD420" s="296">
        <v>7.4884259259259262E-2</v>
      </c>
      <c r="AE420" s="294">
        <v>8.3460000000000001</v>
      </c>
      <c r="AF420" s="294">
        <v>421</v>
      </c>
    </row>
    <row r="421" spans="24:32">
      <c r="X421" s="294">
        <v>386</v>
      </c>
      <c r="Y421" s="294" t="s">
        <v>1430</v>
      </c>
      <c r="Z421" s="294" t="s">
        <v>1431</v>
      </c>
      <c r="AA421" s="294" t="s">
        <v>896</v>
      </c>
      <c r="AB421" s="294" t="s">
        <v>776</v>
      </c>
      <c r="AC421" s="294">
        <v>0</v>
      </c>
      <c r="AD421" s="296">
        <v>7.4930555555555556E-2</v>
      </c>
      <c r="AE421" s="294">
        <v>8.3409999999999993</v>
      </c>
      <c r="AF421" s="294">
        <v>422</v>
      </c>
    </row>
    <row r="422" spans="24:32">
      <c r="X422" s="294">
        <v>184</v>
      </c>
      <c r="Y422" s="294" t="s">
        <v>951</v>
      </c>
      <c r="Z422" s="294" t="s">
        <v>1298</v>
      </c>
      <c r="AA422" s="294" t="s">
        <v>233</v>
      </c>
      <c r="AB422" s="294" t="s">
        <v>838</v>
      </c>
      <c r="AC422" s="294" t="s">
        <v>1016</v>
      </c>
      <c r="AD422" s="296">
        <v>7.4953703703703703E-2</v>
      </c>
      <c r="AE422" s="294">
        <v>8.3379999999999992</v>
      </c>
      <c r="AF422" s="294">
        <v>423</v>
      </c>
    </row>
    <row r="423" spans="24:32">
      <c r="X423" s="294">
        <v>415</v>
      </c>
      <c r="Y423" s="294" t="s">
        <v>1432</v>
      </c>
      <c r="Z423" s="294" t="s">
        <v>1433</v>
      </c>
      <c r="AA423" s="294" t="s">
        <v>896</v>
      </c>
      <c r="AB423" s="294" t="s">
        <v>776</v>
      </c>
      <c r="AC423" s="294">
        <v>0</v>
      </c>
      <c r="AD423" s="296">
        <v>7.5335648148148152E-2</v>
      </c>
      <c r="AE423" s="294">
        <v>8.2959999999999994</v>
      </c>
      <c r="AF423" s="294">
        <v>424</v>
      </c>
    </row>
    <row r="424" spans="24:32">
      <c r="X424" s="294">
        <v>37</v>
      </c>
      <c r="Y424" s="294" t="s">
        <v>1434</v>
      </c>
      <c r="Z424" s="294" t="s">
        <v>1365</v>
      </c>
      <c r="AA424" s="294" t="s">
        <v>896</v>
      </c>
      <c r="AB424" s="294" t="s">
        <v>789</v>
      </c>
      <c r="AC424" s="294">
        <v>0</v>
      </c>
      <c r="AD424" s="296">
        <v>7.5520833333333329E-2</v>
      </c>
      <c r="AE424" s="294">
        <v>8.2759999999999998</v>
      </c>
      <c r="AF424" s="294">
        <v>425</v>
      </c>
    </row>
    <row r="425" spans="24:32" ht="45">
      <c r="X425" s="294">
        <v>283</v>
      </c>
      <c r="Y425" s="294" t="s">
        <v>1010</v>
      </c>
      <c r="Z425" s="294" t="s">
        <v>1102</v>
      </c>
      <c r="AA425" s="294" t="s">
        <v>896</v>
      </c>
      <c r="AB425" s="294" t="s">
        <v>826</v>
      </c>
      <c r="AC425" s="294" t="s">
        <v>969</v>
      </c>
      <c r="AD425" s="296">
        <v>7.604166666666666E-2</v>
      </c>
      <c r="AE425" s="294">
        <v>8.2189999999999994</v>
      </c>
      <c r="AF425" s="294">
        <v>426</v>
      </c>
    </row>
    <row r="426" spans="24:32">
      <c r="X426" s="294">
        <v>285</v>
      </c>
      <c r="Y426" s="294" t="s">
        <v>1010</v>
      </c>
      <c r="Z426" s="294" t="s">
        <v>1435</v>
      </c>
      <c r="AA426" s="294" t="s">
        <v>233</v>
      </c>
      <c r="AB426" s="294" t="s">
        <v>789</v>
      </c>
      <c r="AC426" s="294">
        <v>0</v>
      </c>
      <c r="AD426" s="296">
        <v>7.6122685185185182E-2</v>
      </c>
      <c r="AE426" s="294">
        <v>8.2100000000000009</v>
      </c>
      <c r="AF426" s="294">
        <v>427</v>
      </c>
    </row>
    <row r="427" spans="24:32">
      <c r="X427" s="294">
        <v>402</v>
      </c>
      <c r="Y427" s="294" t="s">
        <v>1436</v>
      </c>
      <c r="Z427" s="294" t="s">
        <v>1437</v>
      </c>
      <c r="AA427" s="294" t="s">
        <v>896</v>
      </c>
      <c r="AB427" s="294" t="s">
        <v>776</v>
      </c>
      <c r="AC427" s="294">
        <v>0</v>
      </c>
      <c r="AD427" s="296">
        <v>7.631944444444444E-2</v>
      </c>
      <c r="AE427" s="294">
        <v>8.1890000000000001</v>
      </c>
      <c r="AF427" s="294">
        <v>428</v>
      </c>
    </row>
    <row r="428" spans="24:32">
      <c r="X428" s="294">
        <v>413</v>
      </c>
      <c r="Y428" s="294" t="s">
        <v>958</v>
      </c>
      <c r="Z428" s="294" t="s">
        <v>1438</v>
      </c>
      <c r="AA428" s="294" t="s">
        <v>896</v>
      </c>
      <c r="AB428" s="294" t="s">
        <v>776</v>
      </c>
      <c r="AC428" s="294">
        <v>0</v>
      </c>
      <c r="AD428" s="296">
        <v>7.6562499999999992E-2</v>
      </c>
      <c r="AE428" s="294">
        <v>8.1630000000000003</v>
      </c>
      <c r="AF428" s="294">
        <v>429</v>
      </c>
    </row>
    <row r="429" spans="24:32">
      <c r="X429" s="294">
        <v>343</v>
      </c>
      <c r="Y429" s="294" t="s">
        <v>1390</v>
      </c>
      <c r="Z429" s="294" t="s">
        <v>1439</v>
      </c>
      <c r="AA429" s="294" t="s">
        <v>896</v>
      </c>
      <c r="AB429" s="294" t="s">
        <v>776</v>
      </c>
      <c r="AC429" s="294">
        <v>0</v>
      </c>
      <c r="AD429" s="296">
        <v>7.662037037037038E-2</v>
      </c>
      <c r="AE429" s="294">
        <v>8.157</v>
      </c>
      <c r="AF429" s="294">
        <v>430</v>
      </c>
    </row>
    <row r="430" spans="24:32" ht="30">
      <c r="X430" s="294">
        <v>242</v>
      </c>
      <c r="Y430" s="294" t="s">
        <v>1440</v>
      </c>
      <c r="Z430" s="294" t="s">
        <v>1036</v>
      </c>
      <c r="AA430" s="294" t="s">
        <v>233</v>
      </c>
      <c r="AB430" s="294" t="s">
        <v>1085</v>
      </c>
      <c r="AC430" s="294" t="s">
        <v>955</v>
      </c>
      <c r="AD430" s="296">
        <v>7.6863425925925918E-2</v>
      </c>
      <c r="AE430" s="294">
        <v>8.1310000000000002</v>
      </c>
      <c r="AF430" s="294">
        <v>431</v>
      </c>
    </row>
    <row r="431" spans="24:32">
      <c r="X431" s="294">
        <v>500</v>
      </c>
      <c r="Y431" s="294" t="s">
        <v>1441</v>
      </c>
      <c r="Z431" s="294" t="s">
        <v>1148</v>
      </c>
      <c r="AA431" s="294" t="s">
        <v>233</v>
      </c>
      <c r="AB431" s="294" t="s">
        <v>789</v>
      </c>
      <c r="AC431" s="294">
        <v>0</v>
      </c>
      <c r="AD431" s="296">
        <v>7.6909722222222213E-2</v>
      </c>
      <c r="AE431" s="294">
        <v>8.1259999999999994</v>
      </c>
      <c r="AF431" s="294">
        <v>432</v>
      </c>
    </row>
    <row r="432" spans="24:32">
      <c r="X432" s="294">
        <v>494</v>
      </c>
      <c r="Y432" s="294" t="s">
        <v>1442</v>
      </c>
      <c r="Z432" s="294" t="s">
        <v>1037</v>
      </c>
      <c r="AA432" s="294" t="s">
        <v>233</v>
      </c>
      <c r="AB432" s="294" t="s">
        <v>789</v>
      </c>
      <c r="AC432" s="294">
        <v>0</v>
      </c>
      <c r="AD432" s="296">
        <v>7.6932870370370374E-2</v>
      </c>
      <c r="AE432" s="294">
        <v>8.1240000000000006</v>
      </c>
      <c r="AF432" s="294">
        <v>433</v>
      </c>
    </row>
    <row r="433" spans="24:32" ht="30">
      <c r="X433" s="294">
        <v>86</v>
      </c>
      <c r="Y433" s="294" t="s">
        <v>1443</v>
      </c>
      <c r="Z433" s="294" t="s">
        <v>1444</v>
      </c>
      <c r="AA433" s="294" t="s">
        <v>233</v>
      </c>
      <c r="AB433" s="294" t="s">
        <v>1085</v>
      </c>
      <c r="AC433" s="294">
        <v>0</v>
      </c>
      <c r="AD433" s="296">
        <v>7.7094907407407418E-2</v>
      </c>
      <c r="AE433" s="294">
        <v>8.1069999999999993</v>
      </c>
      <c r="AF433" s="294">
        <v>434</v>
      </c>
    </row>
    <row r="434" spans="24:32" ht="30">
      <c r="X434" s="294">
        <v>132</v>
      </c>
      <c r="Y434" s="294" t="s">
        <v>1445</v>
      </c>
      <c r="Z434" s="294" t="s">
        <v>1446</v>
      </c>
      <c r="AA434" s="294" t="s">
        <v>896</v>
      </c>
      <c r="AB434" s="294" t="s">
        <v>789</v>
      </c>
      <c r="AC434" s="294" t="s">
        <v>937</v>
      </c>
      <c r="AD434" s="296">
        <v>7.7106481481481484E-2</v>
      </c>
      <c r="AE434" s="294">
        <v>8.1059999999999999</v>
      </c>
      <c r="AF434" s="294">
        <v>435</v>
      </c>
    </row>
    <row r="435" spans="24:32" ht="45">
      <c r="X435" s="294">
        <v>280</v>
      </c>
      <c r="Y435" s="294" t="s">
        <v>1447</v>
      </c>
      <c r="Z435" s="294" t="s">
        <v>1448</v>
      </c>
      <c r="AA435" s="294" t="s">
        <v>896</v>
      </c>
      <c r="AB435" s="294" t="s">
        <v>826</v>
      </c>
      <c r="AC435" s="294" t="s">
        <v>969</v>
      </c>
      <c r="AD435" s="296">
        <v>7.767361111111111E-2</v>
      </c>
      <c r="AE435" s="294">
        <v>8.0459999999999994</v>
      </c>
      <c r="AF435" s="294">
        <v>436</v>
      </c>
    </row>
    <row r="436" spans="24:32">
      <c r="X436" s="294">
        <v>10</v>
      </c>
      <c r="Y436" s="294" t="s">
        <v>1449</v>
      </c>
      <c r="Z436" s="294" t="s">
        <v>908</v>
      </c>
      <c r="AA436" s="294" t="s">
        <v>233</v>
      </c>
      <c r="AB436" s="294" t="s">
        <v>789</v>
      </c>
      <c r="AC436" s="294">
        <v>0</v>
      </c>
      <c r="AD436" s="296">
        <v>7.7835648148148154E-2</v>
      </c>
      <c r="AE436" s="294">
        <v>8.0299999999999994</v>
      </c>
      <c r="AF436" s="294">
        <v>437</v>
      </c>
    </row>
    <row r="437" spans="24:32">
      <c r="X437" s="294">
        <v>115</v>
      </c>
      <c r="Y437" s="294" t="s">
        <v>1450</v>
      </c>
      <c r="Z437" s="294" t="s">
        <v>1218</v>
      </c>
      <c r="AA437" s="294" t="s">
        <v>896</v>
      </c>
      <c r="AB437" s="294" t="s">
        <v>789</v>
      </c>
      <c r="AC437" s="294" t="s">
        <v>1164</v>
      </c>
      <c r="AD437" s="296">
        <v>7.8043981481481492E-2</v>
      </c>
      <c r="AE437" s="294">
        <v>8.0079999999999991</v>
      </c>
      <c r="AF437" s="294">
        <v>438</v>
      </c>
    </row>
    <row r="438" spans="24:32">
      <c r="X438" s="294">
        <v>286</v>
      </c>
      <c r="Y438" s="294" t="s">
        <v>1451</v>
      </c>
      <c r="Z438" s="294" t="s">
        <v>990</v>
      </c>
      <c r="AA438" s="294" t="s">
        <v>233</v>
      </c>
      <c r="AB438" s="294" t="s">
        <v>789</v>
      </c>
      <c r="AC438" s="294">
        <v>0</v>
      </c>
      <c r="AD438" s="296">
        <v>7.8148148148148147E-2</v>
      </c>
      <c r="AE438" s="294">
        <v>7.9980000000000002</v>
      </c>
      <c r="AF438" s="294">
        <v>439</v>
      </c>
    </row>
    <row r="439" spans="24:32" ht="30">
      <c r="X439" s="294">
        <v>287</v>
      </c>
      <c r="Y439" s="294" t="s">
        <v>1452</v>
      </c>
      <c r="Z439" s="294" t="s">
        <v>1453</v>
      </c>
      <c r="AA439" s="294" t="s">
        <v>896</v>
      </c>
      <c r="AB439" s="294" t="s">
        <v>789</v>
      </c>
      <c r="AC439" s="294">
        <v>0</v>
      </c>
      <c r="AD439" s="296">
        <v>7.8194444444444441E-2</v>
      </c>
      <c r="AE439" s="294">
        <v>7.9930000000000003</v>
      </c>
      <c r="AF439" s="294">
        <v>440</v>
      </c>
    </row>
    <row r="440" spans="24:32" ht="30">
      <c r="X440" s="294">
        <v>260</v>
      </c>
      <c r="Y440" s="294" t="s">
        <v>1454</v>
      </c>
      <c r="Z440" s="294" t="s">
        <v>1453</v>
      </c>
      <c r="AA440" s="294" t="s">
        <v>896</v>
      </c>
      <c r="AB440" s="294" t="s">
        <v>838</v>
      </c>
      <c r="AC440" s="294">
        <v>0</v>
      </c>
      <c r="AD440" s="296">
        <v>7.8518518518518529E-2</v>
      </c>
      <c r="AE440" s="294">
        <v>7.96</v>
      </c>
      <c r="AF440" s="294">
        <v>441</v>
      </c>
    </row>
    <row r="441" spans="24:32">
      <c r="X441" s="294">
        <v>261</v>
      </c>
      <c r="Y441" s="294" t="s">
        <v>1454</v>
      </c>
      <c r="Z441" s="294" t="s">
        <v>1161</v>
      </c>
      <c r="AA441" s="294" t="s">
        <v>233</v>
      </c>
      <c r="AB441" s="294" t="s">
        <v>838</v>
      </c>
      <c r="AC441" s="294">
        <v>0</v>
      </c>
      <c r="AD441" s="296">
        <v>7.8530092592592596E-2</v>
      </c>
      <c r="AE441" s="294">
        <v>7.9589999999999996</v>
      </c>
      <c r="AF441" s="294">
        <v>442</v>
      </c>
    </row>
    <row r="442" spans="24:32">
      <c r="X442" s="294">
        <v>45</v>
      </c>
      <c r="Y442" s="294" t="s">
        <v>1112</v>
      </c>
      <c r="Z442" s="294" t="s">
        <v>1446</v>
      </c>
      <c r="AA442" s="294" t="s">
        <v>896</v>
      </c>
      <c r="AB442" s="294" t="s">
        <v>838</v>
      </c>
      <c r="AC442" s="294" t="s">
        <v>1345</v>
      </c>
      <c r="AD442" s="296">
        <v>7.8657407407407412E-2</v>
      </c>
      <c r="AE442" s="294">
        <v>7.9459999999999997</v>
      </c>
      <c r="AF442" s="294">
        <v>443</v>
      </c>
    </row>
    <row r="443" spans="24:32" ht="45">
      <c r="X443" s="294">
        <v>239</v>
      </c>
      <c r="Y443" s="294" t="s">
        <v>1455</v>
      </c>
      <c r="Z443" s="294" t="s">
        <v>1456</v>
      </c>
      <c r="AA443" s="294" t="s">
        <v>896</v>
      </c>
      <c r="AB443" s="294" t="s">
        <v>838</v>
      </c>
      <c r="AC443" s="294" t="s">
        <v>1457</v>
      </c>
      <c r="AD443" s="296">
        <v>7.8692129629629626E-2</v>
      </c>
      <c r="AE443" s="294">
        <v>7.9420000000000002</v>
      </c>
      <c r="AF443" s="294">
        <v>444</v>
      </c>
    </row>
    <row r="444" spans="24:32" ht="45">
      <c r="X444" s="294">
        <v>401</v>
      </c>
      <c r="Y444" s="294" t="s">
        <v>1458</v>
      </c>
      <c r="Z444" s="294" t="s">
        <v>1084</v>
      </c>
      <c r="AA444" s="294" t="s">
        <v>233</v>
      </c>
      <c r="AB444" s="294" t="s">
        <v>1085</v>
      </c>
      <c r="AC444" s="294" t="s">
        <v>1459</v>
      </c>
      <c r="AD444" s="296">
        <v>7.9004629629629633E-2</v>
      </c>
      <c r="AE444" s="294">
        <v>7.9109999999999996</v>
      </c>
      <c r="AF444" s="294">
        <v>445</v>
      </c>
    </row>
    <row r="445" spans="24:32">
      <c r="X445" s="294">
        <v>80</v>
      </c>
      <c r="Y445" s="294" t="s">
        <v>1460</v>
      </c>
      <c r="Z445" s="294" t="s">
        <v>1244</v>
      </c>
      <c r="AA445" s="294" t="s">
        <v>896</v>
      </c>
      <c r="AB445" s="294" t="s">
        <v>776</v>
      </c>
      <c r="AC445" s="294" t="s">
        <v>946</v>
      </c>
      <c r="AD445" s="296">
        <v>7.9155092592592582E-2</v>
      </c>
      <c r="AE445" s="294">
        <v>7.8959999999999999</v>
      </c>
      <c r="AF445" s="294">
        <v>446</v>
      </c>
    </row>
    <row r="446" spans="24:32">
      <c r="X446" s="294">
        <v>288</v>
      </c>
      <c r="Y446" s="294" t="s">
        <v>1039</v>
      </c>
      <c r="Z446" s="294" t="s">
        <v>1461</v>
      </c>
      <c r="AA446" s="294" t="s">
        <v>896</v>
      </c>
      <c r="AB446" s="294" t="s">
        <v>776</v>
      </c>
      <c r="AC446" s="294">
        <v>0</v>
      </c>
      <c r="AD446" s="296">
        <v>8.2800925925925931E-2</v>
      </c>
      <c r="AE446" s="294">
        <v>7.548</v>
      </c>
      <c r="AF446" s="294">
        <v>447</v>
      </c>
    </row>
    <row r="447" spans="24:32">
      <c r="X447" s="294">
        <v>109</v>
      </c>
      <c r="Y447" s="294" t="s">
        <v>1462</v>
      </c>
      <c r="Z447" s="294" t="s">
        <v>1091</v>
      </c>
      <c r="AA447" s="294" t="s">
        <v>233</v>
      </c>
      <c r="AB447" s="294" t="s">
        <v>789</v>
      </c>
      <c r="AC447" s="294">
        <v>0</v>
      </c>
      <c r="AD447" s="296">
        <v>8.2847222222222225E-2</v>
      </c>
      <c r="AE447" s="294">
        <v>7.5439999999999996</v>
      </c>
      <c r="AF447" s="294">
        <v>448</v>
      </c>
    </row>
    <row r="448" spans="24:32" ht="30">
      <c r="X448" s="294">
        <v>185</v>
      </c>
      <c r="Y448" s="294" t="s">
        <v>1463</v>
      </c>
      <c r="Z448" s="294" t="s">
        <v>231</v>
      </c>
      <c r="AA448" s="294" t="s">
        <v>233</v>
      </c>
      <c r="AB448" s="294" t="s">
        <v>789</v>
      </c>
      <c r="AC448" s="294" t="s">
        <v>1464</v>
      </c>
      <c r="AD448" s="296">
        <v>8.3206018518518512E-2</v>
      </c>
      <c r="AE448" s="294">
        <v>7.5110000000000001</v>
      </c>
      <c r="AF448" s="294">
        <v>449</v>
      </c>
    </row>
    <row r="449" spans="24:32">
      <c r="X449" s="294">
        <v>265</v>
      </c>
      <c r="Y449" s="294" t="s">
        <v>1465</v>
      </c>
      <c r="Z449" s="294" t="s">
        <v>1124</v>
      </c>
      <c r="AA449" s="294" t="s">
        <v>896</v>
      </c>
      <c r="AB449" s="294" t="s">
        <v>776</v>
      </c>
      <c r="AC449" s="294">
        <v>0</v>
      </c>
      <c r="AD449" s="296">
        <v>8.335648148148149E-2</v>
      </c>
      <c r="AE449" s="294">
        <v>7.4980000000000002</v>
      </c>
      <c r="AF449" s="294">
        <v>450</v>
      </c>
    </row>
    <row r="450" spans="24:32" ht="30">
      <c r="X450" s="294">
        <v>496</v>
      </c>
      <c r="Y450" s="294" t="s">
        <v>1466</v>
      </c>
      <c r="Z450" s="294" t="s">
        <v>1467</v>
      </c>
      <c r="AA450" s="294" t="s">
        <v>233</v>
      </c>
      <c r="AB450" s="294" t="s">
        <v>789</v>
      </c>
      <c r="AC450" s="294">
        <v>0</v>
      </c>
      <c r="AD450" s="296">
        <v>8.3599537037037042E-2</v>
      </c>
      <c r="AE450" s="294">
        <v>7.476</v>
      </c>
      <c r="AF450" s="294">
        <v>451</v>
      </c>
    </row>
    <row r="451" spans="24:32">
      <c r="X451" s="294">
        <v>36</v>
      </c>
      <c r="Y451" s="294" t="s">
        <v>1411</v>
      </c>
      <c r="Z451" s="294" t="s">
        <v>1264</v>
      </c>
      <c r="AA451" s="294" t="s">
        <v>896</v>
      </c>
      <c r="AB451" s="294" t="s">
        <v>789</v>
      </c>
      <c r="AC451" s="294">
        <v>0</v>
      </c>
      <c r="AD451" s="296">
        <v>8.4247685185185175E-2</v>
      </c>
      <c r="AE451" s="294">
        <v>7.4189999999999996</v>
      </c>
      <c r="AF451" s="294">
        <v>452</v>
      </c>
    </row>
    <row r="452" spans="24:32" ht="45">
      <c r="X452" s="294">
        <v>79</v>
      </c>
      <c r="Y452" s="294" t="s">
        <v>1468</v>
      </c>
      <c r="Z452" s="294" t="s">
        <v>1469</v>
      </c>
      <c r="AA452" s="294" t="s">
        <v>896</v>
      </c>
      <c r="AB452" s="294" t="s">
        <v>789</v>
      </c>
      <c r="AC452" s="294" t="s">
        <v>1470</v>
      </c>
      <c r="AD452" s="296">
        <v>8.4282407407407403E-2</v>
      </c>
      <c r="AE452" s="294">
        <v>7.4160000000000004</v>
      </c>
      <c r="AF452" s="294">
        <v>453</v>
      </c>
    </row>
    <row r="453" spans="24:32" ht="45">
      <c r="X453" s="294">
        <v>78</v>
      </c>
      <c r="Y453" s="294" t="s">
        <v>1468</v>
      </c>
      <c r="Z453" s="294" t="s">
        <v>1298</v>
      </c>
      <c r="AA453" s="294" t="s">
        <v>233</v>
      </c>
      <c r="AB453" s="294" t="s">
        <v>789</v>
      </c>
      <c r="AC453" s="294" t="s">
        <v>1470</v>
      </c>
      <c r="AD453" s="296">
        <v>8.4293981481481484E-2</v>
      </c>
      <c r="AE453" s="294">
        <v>7.415</v>
      </c>
      <c r="AF453" s="294">
        <v>454</v>
      </c>
    </row>
    <row r="454" spans="24:32">
      <c r="X454" s="294">
        <v>35</v>
      </c>
      <c r="Y454" s="294" t="s">
        <v>1411</v>
      </c>
      <c r="Z454" s="294" t="s">
        <v>868</v>
      </c>
      <c r="AA454" s="294" t="s">
        <v>233</v>
      </c>
      <c r="AB454" s="294" t="s">
        <v>789</v>
      </c>
      <c r="AC454" s="294">
        <v>0</v>
      </c>
      <c r="AD454" s="296">
        <v>8.4328703703703711E-2</v>
      </c>
      <c r="AE454" s="294">
        <v>7.4109999999999996</v>
      </c>
      <c r="AF454" s="294">
        <v>455</v>
      </c>
    </row>
    <row r="455" spans="24:32">
      <c r="X455" s="294">
        <v>89</v>
      </c>
      <c r="Y455" s="294" t="s">
        <v>1471</v>
      </c>
      <c r="Z455" s="294" t="s">
        <v>1472</v>
      </c>
      <c r="AA455" s="294" t="s">
        <v>896</v>
      </c>
      <c r="AB455" s="294" t="s">
        <v>838</v>
      </c>
      <c r="AC455" s="294" t="s">
        <v>877</v>
      </c>
      <c r="AD455" s="296">
        <v>8.4618055555555557E-2</v>
      </c>
      <c r="AE455" s="294">
        <v>7.3860000000000001</v>
      </c>
      <c r="AF455" s="294">
        <v>456</v>
      </c>
    </row>
    <row r="456" spans="24:32">
      <c r="X456" s="294">
        <v>27</v>
      </c>
      <c r="Y456" s="294" t="s">
        <v>1383</v>
      </c>
      <c r="Z456" s="294" t="s">
        <v>1473</v>
      </c>
      <c r="AA456" s="294" t="s">
        <v>896</v>
      </c>
      <c r="AB456" s="294" t="s">
        <v>838</v>
      </c>
      <c r="AC456" s="294">
        <v>0</v>
      </c>
      <c r="AD456" s="296">
        <v>8.4664351851851852E-2</v>
      </c>
      <c r="AE456" s="294">
        <v>7.3819999999999997</v>
      </c>
      <c r="AF456" s="294">
        <v>457</v>
      </c>
    </row>
    <row r="457" spans="24:32">
      <c r="X457" s="294">
        <v>407</v>
      </c>
      <c r="Y457" s="294" t="s">
        <v>1474</v>
      </c>
      <c r="Z457" s="294" t="s">
        <v>908</v>
      </c>
      <c r="AA457" s="294" t="s">
        <v>233</v>
      </c>
      <c r="AB457" s="294" t="s">
        <v>838</v>
      </c>
      <c r="AC457" s="294">
        <v>0</v>
      </c>
      <c r="AD457" s="296">
        <v>8.7060185185185171E-2</v>
      </c>
      <c r="AE457" s="294">
        <v>7.1790000000000003</v>
      </c>
      <c r="AF457" s="294">
        <v>458</v>
      </c>
    </row>
    <row r="458" spans="24:32">
      <c r="X458" s="294">
        <v>406</v>
      </c>
      <c r="Y458" s="294" t="s">
        <v>1475</v>
      </c>
      <c r="Z458" s="294" t="s">
        <v>1476</v>
      </c>
      <c r="AA458" s="294" t="s">
        <v>233</v>
      </c>
      <c r="AB458" s="294" t="s">
        <v>838</v>
      </c>
      <c r="AC458" s="294">
        <v>0</v>
      </c>
      <c r="AD458" s="296">
        <v>8.7083333333333332E-2</v>
      </c>
      <c r="AE458" s="294">
        <v>7.1769999999999996</v>
      </c>
      <c r="AF458" s="294">
        <v>459</v>
      </c>
    </row>
    <row r="459" spans="24:32" ht="30">
      <c r="X459" s="294">
        <v>232</v>
      </c>
      <c r="Y459" s="294" t="s">
        <v>1477</v>
      </c>
      <c r="Z459" s="294" t="s">
        <v>1300</v>
      </c>
      <c r="AA459" s="294" t="s">
        <v>896</v>
      </c>
      <c r="AB459" s="294" t="s">
        <v>838</v>
      </c>
      <c r="AC459" s="294" t="s">
        <v>1122</v>
      </c>
      <c r="AD459" s="296">
        <v>8.863425925925926E-2</v>
      </c>
      <c r="AE459" s="294">
        <v>7.0510000000000002</v>
      </c>
      <c r="AF459" s="294">
        <v>460</v>
      </c>
    </row>
    <row r="460" spans="24:32" ht="30">
      <c r="X460" s="294">
        <v>414</v>
      </c>
      <c r="Y460" s="294" t="s">
        <v>1088</v>
      </c>
      <c r="Z460" s="294" t="s">
        <v>1478</v>
      </c>
      <c r="AA460" s="294" t="s">
        <v>896</v>
      </c>
      <c r="AB460" s="294" t="s">
        <v>838</v>
      </c>
      <c r="AC460" s="294">
        <v>0</v>
      </c>
      <c r="AD460" s="296">
        <v>8.9456018518518518E-2</v>
      </c>
      <c r="AE460" s="294">
        <v>6.9870000000000001</v>
      </c>
      <c r="AF460" s="294">
        <v>461</v>
      </c>
    </row>
    <row r="461" spans="24:32">
      <c r="X461" s="294">
        <v>405</v>
      </c>
      <c r="Y461" s="294" t="s">
        <v>1479</v>
      </c>
      <c r="Z461" s="294" t="s">
        <v>1480</v>
      </c>
      <c r="AA461" s="294" t="s">
        <v>896</v>
      </c>
      <c r="AB461" s="294" t="s">
        <v>838</v>
      </c>
      <c r="AC461" s="294">
        <v>0</v>
      </c>
      <c r="AD461" s="296">
        <v>9.0069444444444438E-2</v>
      </c>
      <c r="AE461" s="294">
        <v>6.9390000000000001</v>
      </c>
      <c r="AF461" s="294">
        <v>462</v>
      </c>
    </row>
    <row r="462" spans="24:32" ht="30">
      <c r="X462" s="294">
        <v>9</v>
      </c>
      <c r="Y462" s="294" t="s">
        <v>1481</v>
      </c>
      <c r="Z462" s="294" t="s">
        <v>1134</v>
      </c>
      <c r="AA462" s="294" t="s">
        <v>896</v>
      </c>
      <c r="AB462" s="294" t="s">
        <v>789</v>
      </c>
      <c r="AC462" s="294" t="s">
        <v>1482</v>
      </c>
      <c r="AD462" s="296">
        <v>9.0173611111111107E-2</v>
      </c>
      <c r="AE462" s="294">
        <v>6.931</v>
      </c>
      <c r="AF462" s="294">
        <v>463</v>
      </c>
    </row>
    <row r="463" spans="24:32">
      <c r="X463" s="294">
        <v>158</v>
      </c>
      <c r="Y463" s="294" t="s">
        <v>1483</v>
      </c>
      <c r="Z463" s="294" t="s">
        <v>851</v>
      </c>
      <c r="AA463" s="294" t="s">
        <v>233</v>
      </c>
      <c r="AB463" s="294" t="s">
        <v>776</v>
      </c>
      <c r="AC463" s="294">
        <v>0</v>
      </c>
      <c r="AD463" s="296">
        <v>9.493055555555556E-2</v>
      </c>
      <c r="AE463" s="294">
        <v>6.5839999999999996</v>
      </c>
      <c r="AF463" s="294">
        <v>464</v>
      </c>
    </row>
    <row r="464" spans="24:32" ht="30">
      <c r="X464" s="294">
        <v>354</v>
      </c>
      <c r="Y464" s="294" t="s">
        <v>1484</v>
      </c>
      <c r="Z464" s="294" t="s">
        <v>1485</v>
      </c>
      <c r="AA464" s="294" t="s">
        <v>896</v>
      </c>
      <c r="AB464" s="294" t="s">
        <v>789</v>
      </c>
      <c r="AC464" s="294">
        <v>0</v>
      </c>
      <c r="AD464" s="296">
        <v>9.5856481481481473E-2</v>
      </c>
      <c r="AE464" s="294">
        <v>6.52</v>
      </c>
      <c r="AF464" s="294">
        <v>465</v>
      </c>
    </row>
    <row r="465" spans="24:32">
      <c r="X465" s="294">
        <v>83</v>
      </c>
      <c r="Y465" s="294" t="s">
        <v>1486</v>
      </c>
      <c r="Z465" s="294" t="s">
        <v>1487</v>
      </c>
      <c r="AA465" s="294" t="s">
        <v>896</v>
      </c>
      <c r="AB465" s="294" t="s">
        <v>838</v>
      </c>
      <c r="AC465" s="294">
        <v>0</v>
      </c>
      <c r="AD465" s="296">
        <v>9.9340277777777777E-2</v>
      </c>
      <c r="AE465" s="294">
        <v>6.2919999999999998</v>
      </c>
      <c r="AF465" s="294">
        <v>466</v>
      </c>
    </row>
    <row r="466" spans="24:32">
      <c r="X466" s="294">
        <v>383</v>
      </c>
      <c r="Y466" s="294" t="s">
        <v>1488</v>
      </c>
      <c r="Z466" s="294" t="s">
        <v>1489</v>
      </c>
      <c r="AA466" s="294" t="s">
        <v>233</v>
      </c>
      <c r="AB466" s="294" t="s">
        <v>838</v>
      </c>
      <c r="AC466" s="294" t="s">
        <v>1490</v>
      </c>
      <c r="AD466" s="296">
        <v>0.10410879629629628</v>
      </c>
      <c r="AE466" s="294">
        <v>6.0030000000000001</v>
      </c>
      <c r="AF466" s="294">
        <v>467</v>
      </c>
    </row>
  </sheetData>
  <mergeCells count="1">
    <mergeCell ref="A2:K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tabSelected="1" workbookViewId="0">
      <selection activeCell="F25" sqref="F25"/>
    </sheetView>
  </sheetViews>
  <sheetFormatPr baseColWidth="10" defaultColWidth="37.83203125" defaultRowHeight="18" x14ac:dyDescent="0"/>
  <cols>
    <col min="1" max="1" width="37.83203125" style="316"/>
    <col min="2" max="2" width="40.5" style="316" bestFit="1" customWidth="1"/>
    <col min="3" max="3" width="21.33203125" style="316" bestFit="1" customWidth="1"/>
    <col min="4" max="4" width="31.33203125" style="316" bestFit="1" customWidth="1"/>
    <col min="5" max="5" width="20.6640625" style="316" bestFit="1" customWidth="1"/>
    <col min="6" max="6" width="28" style="316" bestFit="1" customWidth="1"/>
    <col min="7" max="7" width="20.33203125" style="316" bestFit="1" customWidth="1"/>
    <col min="8" max="8" width="21.33203125" style="316" bestFit="1" customWidth="1"/>
    <col min="9" max="9" width="11.1640625" style="316" bestFit="1" customWidth="1"/>
    <col min="10" max="10" width="10.6640625" style="316" bestFit="1" customWidth="1"/>
    <col min="11" max="11" width="14.5" style="316" bestFit="1" customWidth="1"/>
    <col min="12" max="16384" width="37.83203125" style="316"/>
  </cols>
  <sheetData>
    <row r="1" spans="1:13" ht="19" thickBot="1"/>
    <row r="2" spans="1:13" ht="19" thickBot="1">
      <c r="B2" s="417" t="s">
        <v>244</v>
      </c>
      <c r="C2" s="418"/>
      <c r="D2" s="418"/>
      <c r="E2" s="418"/>
      <c r="F2" s="418"/>
      <c r="G2" s="418"/>
      <c r="H2" s="419"/>
    </row>
    <row r="3" spans="1:13" ht="19" thickBot="1">
      <c r="I3" s="379"/>
    </row>
    <row r="4" spans="1:13" ht="19" thickBot="1">
      <c r="B4" s="420" t="s">
        <v>227</v>
      </c>
      <c r="C4" s="421"/>
      <c r="D4" s="317" t="s">
        <v>228</v>
      </c>
      <c r="E4" s="318" t="s">
        <v>229</v>
      </c>
      <c r="G4" s="317" t="s">
        <v>230</v>
      </c>
      <c r="H4" s="318" t="s">
        <v>231</v>
      </c>
    </row>
    <row r="5" spans="1:13" ht="19" thickBot="1"/>
    <row r="6" spans="1:13" ht="19" thickBot="1">
      <c r="B6" s="317" t="s">
        <v>232</v>
      </c>
      <c r="C6" s="318" t="s">
        <v>233</v>
      </c>
      <c r="D6" s="317" t="s">
        <v>235</v>
      </c>
      <c r="E6" s="318">
        <v>24599</v>
      </c>
      <c r="G6" s="317" t="s">
        <v>234</v>
      </c>
      <c r="H6" s="319" t="str">
        <f ca="1">CONCATENATE(TEXT(TODAY()-$E$6,"aa"), " ans")</f>
        <v>aa ans</v>
      </c>
    </row>
    <row r="7" spans="1:13" ht="19" thickBot="1"/>
    <row r="8" spans="1:13" ht="19" thickBot="1">
      <c r="B8" s="317" t="s">
        <v>236</v>
      </c>
      <c r="C8" s="320">
        <v>181</v>
      </c>
    </row>
    <row r="9" spans="1:13" ht="19" thickBot="1"/>
    <row r="10" spans="1:13" ht="19" thickBot="1">
      <c r="B10" s="317" t="s">
        <v>237</v>
      </c>
      <c r="C10" s="320">
        <v>93</v>
      </c>
      <c r="D10" s="317" t="s">
        <v>238</v>
      </c>
      <c r="E10" s="318">
        <v>42028</v>
      </c>
      <c r="G10" s="317" t="s">
        <v>243</v>
      </c>
      <c r="H10" s="319">
        <v>82</v>
      </c>
    </row>
    <row r="11" spans="1:13" ht="19" thickBot="1">
      <c r="B11" s="316" t="str">
        <f ca="1">CONCATENATE("Mesuré, il y a ",TEXT(TODAY()-$E$10,"0")," jours.")</f>
        <v>Mesuré, il y a 362 jours.</v>
      </c>
    </row>
    <row r="12" spans="1:13">
      <c r="A12" s="346"/>
      <c r="B12" s="346"/>
      <c r="C12" s="408" t="s">
        <v>195</v>
      </c>
      <c r="D12" s="409"/>
      <c r="E12" s="410"/>
      <c r="F12" s="411" t="s">
        <v>196</v>
      </c>
      <c r="G12" s="412"/>
      <c r="H12" s="413" t="s">
        <v>197</v>
      </c>
      <c r="I12" s="414"/>
      <c r="J12" s="415"/>
      <c r="K12" s="347" t="s">
        <v>198</v>
      </c>
      <c r="L12" s="346"/>
      <c r="M12" s="346"/>
    </row>
    <row r="13" spans="1:13">
      <c r="A13" s="346"/>
      <c r="B13" s="346"/>
      <c r="C13" s="348" t="s">
        <v>199</v>
      </c>
      <c r="D13" s="349" t="s">
        <v>200</v>
      </c>
      <c r="E13" s="350"/>
      <c r="F13" s="351"/>
      <c r="G13" s="352"/>
      <c r="H13" s="353"/>
      <c r="I13" s="354"/>
      <c r="J13" s="354"/>
      <c r="K13" s="355"/>
      <c r="L13" s="346"/>
    </row>
    <row r="14" spans="1:13" ht="19" thickBot="1">
      <c r="A14" s="346"/>
      <c r="B14" s="356"/>
      <c r="C14" s="348" t="s">
        <v>201</v>
      </c>
      <c r="D14" s="349" t="s">
        <v>202</v>
      </c>
      <c r="E14" s="350"/>
      <c r="F14" s="357" t="s">
        <v>203</v>
      </c>
      <c r="G14" s="358"/>
      <c r="H14" s="359" t="s">
        <v>204</v>
      </c>
      <c r="I14" s="360"/>
      <c r="J14" s="360"/>
      <c r="K14" s="361"/>
      <c r="L14" s="346"/>
    </row>
    <row r="15" spans="1:13" ht="19" thickBot="1">
      <c r="B15" s="317" t="s">
        <v>169</v>
      </c>
      <c r="C15" s="380">
        <v>0.6</v>
      </c>
      <c r="D15" s="362">
        <v>0.7</v>
      </c>
      <c r="E15" s="363">
        <v>0.75</v>
      </c>
      <c r="F15" s="364">
        <v>0.8</v>
      </c>
      <c r="G15" s="365">
        <v>0.85</v>
      </c>
      <c r="H15" s="366">
        <v>0.9</v>
      </c>
      <c r="I15" s="367">
        <v>1</v>
      </c>
      <c r="J15" s="368">
        <v>1.05</v>
      </c>
      <c r="K15" s="369">
        <v>1.1000000000000001</v>
      </c>
      <c r="L15" s="346"/>
    </row>
    <row r="16" spans="1:13" ht="20" thickTop="1" thickBot="1">
      <c r="B16" s="317" t="s">
        <v>205</v>
      </c>
      <c r="C16" s="321">
        <f t="shared" ref="C16:H16" si="0">C15*$I$16</f>
        <v>9.6</v>
      </c>
      <c r="D16" s="322">
        <f t="shared" si="0"/>
        <v>11.2</v>
      </c>
      <c r="E16" s="322">
        <f t="shared" si="0"/>
        <v>12</v>
      </c>
      <c r="F16" s="323">
        <f t="shared" si="0"/>
        <v>12.8</v>
      </c>
      <c r="G16" s="324">
        <f t="shared" si="0"/>
        <v>13.6</v>
      </c>
      <c r="H16" s="325">
        <f t="shared" si="0"/>
        <v>14.4</v>
      </c>
      <c r="I16" s="326">
        <v>16</v>
      </c>
      <c r="J16" s="325">
        <f>J15*$I$16</f>
        <v>16.8</v>
      </c>
      <c r="K16" s="327">
        <f>$I$16*K15</f>
        <v>17.600000000000001</v>
      </c>
      <c r="L16" s="346"/>
    </row>
    <row r="17" spans="2:14" ht="20" thickTop="1" thickBot="1">
      <c r="B17" s="317" t="s">
        <v>1496</v>
      </c>
      <c r="C17" s="682" t="str">
        <f>CONCATENATE(ROUNDDOWN(60/C$16,0),"'",ROUNDUP(60*((60/C$16)-ROUNDDOWN(60/C$16,0)),0),"''")</f>
        <v>6'15''</v>
      </c>
      <c r="D17" s="683" t="str">
        <f t="shared" ref="D17:K17" si="1">CONCATENATE(ROUNDDOWN(60/D$16,0),"'",ROUNDUP(60*((60/D$16)-ROUNDDOWN(60/D$16,0)),0),"''")</f>
        <v>5'22''</v>
      </c>
      <c r="E17" s="684" t="str">
        <f t="shared" si="1"/>
        <v>5'0''</v>
      </c>
      <c r="F17" s="685" t="str">
        <f t="shared" si="1"/>
        <v>4'42''</v>
      </c>
      <c r="G17" s="686" t="str">
        <f t="shared" si="1"/>
        <v>4'25''</v>
      </c>
      <c r="H17" s="687" t="str">
        <f t="shared" si="1"/>
        <v>4'10''</v>
      </c>
      <c r="I17" s="688" t="str">
        <f t="shared" si="1"/>
        <v>3'45''</v>
      </c>
      <c r="J17" s="689" t="str">
        <f t="shared" si="1"/>
        <v>3'35''</v>
      </c>
      <c r="K17" s="690" t="str">
        <f t="shared" si="1"/>
        <v>3'25''</v>
      </c>
      <c r="L17" s="346"/>
    </row>
    <row r="18" spans="2:14" ht="20" thickTop="1" thickBot="1">
      <c r="B18" s="317" t="s">
        <v>206</v>
      </c>
      <c r="C18" s="285">
        <f>C15*$J$18</f>
        <v>111.6</v>
      </c>
      <c r="D18" s="286">
        <f t="shared" ref="D18:K18" si="2">D15*$J$18</f>
        <v>130.19999999999999</v>
      </c>
      <c r="E18" s="315">
        <f t="shared" si="2"/>
        <v>139.5</v>
      </c>
      <c r="F18" s="287">
        <f t="shared" si="2"/>
        <v>148.80000000000001</v>
      </c>
      <c r="G18" s="288">
        <f t="shared" si="2"/>
        <v>158.1</v>
      </c>
      <c r="H18" s="290">
        <f t="shared" si="2"/>
        <v>167.4</v>
      </c>
      <c r="I18" s="289">
        <f t="shared" si="2"/>
        <v>186</v>
      </c>
      <c r="J18" s="326">
        <f>186</f>
        <v>186</v>
      </c>
      <c r="K18" s="291">
        <f t="shared" si="2"/>
        <v>204.60000000000002</v>
      </c>
      <c r="L18" s="346"/>
      <c r="M18" s="346"/>
    </row>
    <row r="19" spans="2:14" ht="19" thickBot="1">
      <c r="B19" s="317" t="s">
        <v>208</v>
      </c>
      <c r="C19" s="370" t="s">
        <v>209</v>
      </c>
      <c r="D19" s="328" t="s">
        <v>210</v>
      </c>
      <c r="E19" s="329"/>
      <c r="F19" s="330" t="s">
        <v>211</v>
      </c>
      <c r="G19" s="331"/>
      <c r="H19" s="332"/>
      <c r="I19" s="333" t="s">
        <v>212</v>
      </c>
      <c r="J19" s="333"/>
      <c r="K19" s="334" t="s">
        <v>213</v>
      </c>
    </row>
    <row r="20" spans="2:14" ht="19" thickBot="1">
      <c r="B20" s="317" t="s">
        <v>214</v>
      </c>
      <c r="C20" s="371" t="s">
        <v>215</v>
      </c>
      <c r="D20" s="372" t="s">
        <v>216</v>
      </c>
      <c r="E20" s="371"/>
      <c r="F20" s="373" t="s">
        <v>217</v>
      </c>
      <c r="G20" s="374">
        <v>15.299999999999999</v>
      </c>
      <c r="H20" s="375" t="s">
        <v>218</v>
      </c>
      <c r="I20" s="376">
        <v>2.7</v>
      </c>
      <c r="J20" s="377">
        <v>390</v>
      </c>
      <c r="K20" s="378">
        <v>165</v>
      </c>
    </row>
    <row r="21" spans="2:14" ht="19" thickBot="1">
      <c r="B21" s="317" t="s">
        <v>219</v>
      </c>
      <c r="C21" s="335">
        <v>49</v>
      </c>
      <c r="D21" s="336"/>
      <c r="E21" s="336"/>
      <c r="F21" s="337">
        <v>10.5</v>
      </c>
      <c r="G21" s="338"/>
      <c r="H21" s="339">
        <v>7</v>
      </c>
      <c r="I21" s="339"/>
      <c r="J21" s="339"/>
      <c r="K21" s="340">
        <v>3.5</v>
      </c>
    </row>
    <row r="22" spans="2:14" ht="19" thickBot="1">
      <c r="B22" s="317" t="s">
        <v>1492</v>
      </c>
      <c r="C22" s="346"/>
      <c r="D22" s="341" t="s">
        <v>1493</v>
      </c>
      <c r="E22" s="342"/>
      <c r="F22" s="381"/>
      <c r="G22" s="343" t="s">
        <v>1494</v>
      </c>
      <c r="H22" s="346"/>
      <c r="I22" s="346"/>
      <c r="J22" s="346"/>
      <c r="K22" s="344" t="s">
        <v>1495</v>
      </c>
      <c r="L22" s="346"/>
      <c r="M22" s="346"/>
      <c r="N22" s="346"/>
    </row>
    <row r="24" spans="2:14">
      <c r="B24" s="416" t="s">
        <v>207</v>
      </c>
      <c r="C24" s="416"/>
    </row>
    <row r="25" spans="2:14">
      <c r="B25" s="416"/>
      <c r="C25" s="416"/>
    </row>
    <row r="26" spans="2:14" ht="19" thickBot="1">
      <c r="B26" s="416"/>
      <c r="C26" s="416"/>
    </row>
    <row r="27" spans="2:14" ht="19" thickBot="1">
      <c r="B27" s="345">
        <v>70</v>
      </c>
      <c r="C27" s="346"/>
    </row>
  </sheetData>
  <mergeCells count="6">
    <mergeCell ref="C12:E12"/>
    <mergeCell ref="F12:G12"/>
    <mergeCell ref="H12:J12"/>
    <mergeCell ref="B24:C26"/>
    <mergeCell ref="B2:H2"/>
    <mergeCell ref="B4:C4"/>
  </mergeCells>
  <hyperlinks>
    <hyperlink ref="F14:G14" location="seuil!O9" tooltip="Aller sur la feuille SEUIL" display="footing rapide (seuil)"/>
    <hyperlink ref="H14:J14" location="VMA!L9" tooltip="Aller vers la feuille VMA." display="intervalles"/>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8"/>
  <sheetViews>
    <sheetView topLeftCell="B6" workbookViewId="0">
      <selection activeCell="L19" sqref="L19"/>
    </sheetView>
  </sheetViews>
  <sheetFormatPr baseColWidth="10" defaultRowHeight="12" x14ac:dyDescent="0"/>
  <cols>
    <col min="2" max="2" width="21.6640625" bestFit="1" customWidth="1"/>
    <col min="3" max="25" width="3.83203125" customWidth="1"/>
  </cols>
  <sheetData>
    <row r="1" spans="2:25" ht="13" thickBot="1"/>
    <row r="2" spans="2:25" ht="18" thickBot="1">
      <c r="B2" s="422" t="s">
        <v>406</v>
      </c>
      <c r="C2" s="423"/>
      <c r="D2" s="423"/>
      <c r="E2" s="423"/>
      <c r="F2" s="423"/>
      <c r="G2" s="423"/>
      <c r="H2" s="423"/>
      <c r="I2" s="423"/>
      <c r="J2" s="423"/>
      <c r="K2" s="423"/>
      <c r="L2" s="423"/>
      <c r="M2" s="423"/>
      <c r="N2" s="423"/>
      <c r="O2" s="423"/>
      <c r="P2" s="423"/>
      <c r="Q2" s="423"/>
      <c r="R2" s="423"/>
      <c r="S2" s="423"/>
      <c r="T2" s="423"/>
      <c r="U2" s="423"/>
      <c r="V2" s="423"/>
      <c r="W2" s="423"/>
      <c r="X2" s="423"/>
      <c r="Y2" s="424"/>
    </row>
    <row r="3" spans="2:25" ht="13" thickBot="1"/>
    <row r="4" spans="2:25" ht="18" thickBot="1">
      <c r="B4" s="422" t="s">
        <v>407</v>
      </c>
      <c r="C4" s="423"/>
      <c r="D4" s="423"/>
      <c r="E4" s="423"/>
      <c r="F4" s="423"/>
      <c r="G4" s="423"/>
      <c r="H4" s="423"/>
      <c r="I4" s="423"/>
      <c r="J4" s="423"/>
      <c r="K4" s="423"/>
      <c r="L4" s="423"/>
      <c r="M4" s="423"/>
      <c r="N4" s="423"/>
      <c r="O4" s="423"/>
      <c r="P4" s="423"/>
      <c r="Q4" s="423"/>
      <c r="R4" s="423"/>
      <c r="S4" s="423"/>
      <c r="T4" s="423"/>
      <c r="U4" s="423"/>
      <c r="V4" s="423"/>
      <c r="W4" s="423"/>
      <c r="X4" s="423"/>
      <c r="Y4" s="424"/>
    </row>
    <row r="5" spans="2:25" ht="13" thickBot="1"/>
    <row r="6" spans="2:25" ht="162" thickBot="1">
      <c r="B6" s="202" t="s">
        <v>388</v>
      </c>
      <c r="C6" s="203" t="s">
        <v>395</v>
      </c>
      <c r="D6" s="203" t="s">
        <v>396</v>
      </c>
      <c r="E6" s="203" t="s">
        <v>397</v>
      </c>
      <c r="F6" s="203" t="s">
        <v>398</v>
      </c>
      <c r="G6" s="203" t="s">
        <v>399</v>
      </c>
      <c r="H6" s="203" t="s">
        <v>400</v>
      </c>
      <c r="I6" s="203" t="s">
        <v>401</v>
      </c>
      <c r="J6" s="203" t="s">
        <v>402</v>
      </c>
      <c r="K6" s="203" t="s">
        <v>390</v>
      </c>
      <c r="L6" s="203" t="s">
        <v>389</v>
      </c>
      <c r="M6" s="203" t="s">
        <v>403</v>
      </c>
      <c r="N6" s="203" t="s">
        <v>404</v>
      </c>
      <c r="O6" s="203" t="s">
        <v>391</v>
      </c>
      <c r="P6" s="203" t="s">
        <v>392</v>
      </c>
      <c r="Q6" s="203" t="s">
        <v>405</v>
      </c>
      <c r="R6" s="203" t="s">
        <v>409</v>
      </c>
      <c r="S6" s="203" t="s">
        <v>410</v>
      </c>
      <c r="T6" s="203" t="s">
        <v>393</v>
      </c>
      <c r="U6" s="203" t="s">
        <v>411</v>
      </c>
      <c r="V6" s="203" t="s">
        <v>412</v>
      </c>
      <c r="W6" s="203" t="s">
        <v>413</v>
      </c>
      <c r="X6" s="203" t="s">
        <v>414</v>
      </c>
      <c r="Y6" s="203" t="s">
        <v>415</v>
      </c>
    </row>
    <row r="7" spans="2:25" ht="23" customHeight="1" thickBot="1">
      <c r="B7" s="204" t="s">
        <v>89</v>
      </c>
      <c r="C7" s="201" t="s">
        <v>394</v>
      </c>
      <c r="D7" s="201"/>
      <c r="E7" s="201"/>
      <c r="F7" s="201"/>
      <c r="G7" s="201"/>
      <c r="H7" s="201"/>
      <c r="I7" s="201"/>
      <c r="J7" s="201"/>
      <c r="K7" s="201"/>
      <c r="L7" s="201"/>
      <c r="M7" s="201"/>
      <c r="N7" s="201"/>
      <c r="O7" s="201"/>
      <c r="P7" s="201"/>
      <c r="Q7" s="201"/>
      <c r="R7" s="201"/>
      <c r="S7" s="201"/>
      <c r="T7" s="201"/>
      <c r="U7" s="201"/>
      <c r="V7" s="201"/>
      <c r="W7" s="201"/>
      <c r="X7" s="201"/>
      <c r="Y7" s="201"/>
    </row>
    <row r="8" spans="2:25" ht="23" customHeight="1" thickBot="1">
      <c r="B8" s="204" t="s">
        <v>90</v>
      </c>
      <c r="C8" s="201"/>
      <c r="D8" s="201"/>
      <c r="E8" s="201"/>
      <c r="F8" s="201"/>
      <c r="G8" s="201"/>
      <c r="H8" s="201"/>
      <c r="I8" s="201"/>
      <c r="J8" s="201"/>
      <c r="K8" s="201"/>
      <c r="L8" s="201"/>
      <c r="M8" s="201"/>
      <c r="N8" s="201"/>
      <c r="O8" s="201"/>
      <c r="P8" s="201"/>
      <c r="Q8" s="201"/>
      <c r="R8" s="201"/>
      <c r="S8" s="201"/>
      <c r="T8" s="201"/>
      <c r="U8" s="201"/>
      <c r="V8" s="201"/>
      <c r="W8" s="201"/>
      <c r="X8" s="201"/>
      <c r="Y8" s="201"/>
    </row>
    <row r="9" spans="2:25" ht="23" customHeight="1" thickBot="1">
      <c r="B9" s="204" t="s">
        <v>91</v>
      </c>
      <c r="C9" s="201"/>
      <c r="D9" s="201"/>
      <c r="E9" s="201"/>
      <c r="F9" s="201"/>
      <c r="G9" s="201"/>
      <c r="H9" s="201"/>
      <c r="I9" s="201"/>
      <c r="J9" s="201"/>
      <c r="K9" s="201"/>
      <c r="L9" s="201"/>
      <c r="M9" s="201"/>
      <c r="N9" s="201"/>
      <c r="O9" s="201"/>
      <c r="P9" s="201"/>
      <c r="Q9" s="201"/>
      <c r="R9" s="201"/>
      <c r="S9" s="201"/>
      <c r="T9" s="201"/>
      <c r="U9" s="201"/>
      <c r="V9" s="201"/>
      <c r="W9" s="201"/>
      <c r="X9" s="201"/>
      <c r="Y9" s="201"/>
    </row>
    <row r="10" spans="2:25" ht="23" customHeight="1" thickBot="1">
      <c r="B10" s="204" t="s">
        <v>92</v>
      </c>
      <c r="C10" s="201"/>
      <c r="D10" s="201"/>
      <c r="E10" s="201"/>
      <c r="F10" s="201"/>
      <c r="G10" s="201"/>
      <c r="H10" s="201"/>
      <c r="I10" s="201"/>
      <c r="J10" s="201"/>
      <c r="K10" s="201"/>
      <c r="L10" s="201"/>
      <c r="M10" s="201"/>
      <c r="N10" s="201"/>
      <c r="O10" s="201"/>
      <c r="P10" s="201"/>
      <c r="Q10" s="201"/>
      <c r="R10" s="201"/>
      <c r="S10" s="201"/>
      <c r="T10" s="201"/>
      <c r="U10" s="201"/>
      <c r="V10" s="201"/>
      <c r="W10" s="201"/>
      <c r="X10" s="201"/>
      <c r="Y10" s="201"/>
    </row>
    <row r="11" spans="2:25" ht="23" customHeight="1" thickBot="1">
      <c r="B11" s="204" t="s">
        <v>98</v>
      </c>
      <c r="C11" s="201"/>
      <c r="D11" s="201"/>
      <c r="E11" s="201"/>
      <c r="F11" s="201"/>
      <c r="G11" s="201"/>
      <c r="H11" s="201"/>
      <c r="I11" s="201"/>
      <c r="J11" s="201"/>
      <c r="K11" s="201"/>
      <c r="L11" s="201"/>
      <c r="M11" s="201"/>
      <c r="N11" s="201"/>
      <c r="O11" s="201"/>
      <c r="P11" s="201"/>
      <c r="Q11" s="201"/>
      <c r="R11" s="201"/>
      <c r="S11" s="201"/>
      <c r="T11" s="201"/>
      <c r="U11" s="201"/>
      <c r="V11" s="201"/>
      <c r="W11" s="201"/>
      <c r="X11" s="201"/>
      <c r="Y11" s="201"/>
    </row>
    <row r="12" spans="2:25" ht="23" customHeight="1" thickBot="1">
      <c r="B12" s="204" t="s">
        <v>100</v>
      </c>
      <c r="C12" s="201"/>
      <c r="D12" s="201"/>
      <c r="E12" s="201"/>
      <c r="F12" s="201"/>
      <c r="G12" s="201"/>
      <c r="H12" s="201"/>
      <c r="I12" s="201"/>
      <c r="J12" s="201"/>
      <c r="K12" s="201"/>
      <c r="L12" s="201"/>
      <c r="M12" s="201"/>
      <c r="N12" s="201" t="s">
        <v>394</v>
      </c>
      <c r="O12" s="201"/>
      <c r="P12" s="201"/>
      <c r="Q12" s="201"/>
      <c r="R12" s="201"/>
      <c r="S12" s="201"/>
      <c r="T12" s="201"/>
      <c r="U12" s="201"/>
      <c r="V12" s="201"/>
      <c r="W12" s="201"/>
      <c r="X12" s="201"/>
      <c r="Y12" s="201"/>
    </row>
    <row r="13" spans="2:25" ht="23" customHeight="1" thickBot="1">
      <c r="B13" s="204" t="s">
        <v>101</v>
      </c>
      <c r="C13" s="201"/>
      <c r="D13" s="201"/>
      <c r="E13" s="201"/>
      <c r="F13" s="201"/>
      <c r="G13" s="201"/>
      <c r="H13" s="201"/>
      <c r="I13" s="201"/>
      <c r="J13" s="201"/>
      <c r="K13" s="201"/>
      <c r="L13" s="201"/>
      <c r="M13" s="201"/>
      <c r="N13" s="201" t="s">
        <v>394</v>
      </c>
      <c r="O13" s="201"/>
      <c r="P13" s="201"/>
      <c r="Q13" s="201"/>
      <c r="R13" s="201"/>
      <c r="S13" s="201"/>
      <c r="T13" s="201"/>
      <c r="U13" s="201"/>
      <c r="V13" s="201"/>
      <c r="W13" s="201"/>
      <c r="X13" s="201"/>
      <c r="Y13" s="201"/>
    </row>
    <row r="14" spans="2:25" ht="23" customHeight="1" thickBot="1">
      <c r="B14" s="204" t="s">
        <v>386</v>
      </c>
      <c r="C14" s="201"/>
      <c r="D14" s="201"/>
      <c r="E14" s="201"/>
      <c r="F14" s="201"/>
      <c r="G14" s="201"/>
      <c r="H14" s="201"/>
      <c r="I14" s="201"/>
      <c r="J14" s="201"/>
      <c r="K14" s="201"/>
      <c r="L14" s="201"/>
      <c r="M14" s="201"/>
      <c r="N14" s="201"/>
      <c r="O14" s="201"/>
      <c r="P14" s="201"/>
      <c r="Q14" s="201"/>
      <c r="R14" s="201"/>
      <c r="S14" s="201"/>
      <c r="T14" s="201"/>
      <c r="U14" s="201"/>
      <c r="V14" s="201"/>
      <c r="W14" s="201"/>
      <c r="X14" s="201"/>
      <c r="Y14" s="201"/>
    </row>
    <row r="15" spans="2:25" ht="23" customHeight="1" thickBot="1">
      <c r="B15" s="204" t="s">
        <v>387</v>
      </c>
      <c r="C15" s="201"/>
      <c r="D15" s="201"/>
      <c r="E15" s="201"/>
      <c r="F15" s="201"/>
      <c r="G15" s="201"/>
      <c r="H15" s="201"/>
      <c r="I15" s="201"/>
      <c r="J15" s="201"/>
      <c r="K15" s="201"/>
      <c r="L15" s="201"/>
      <c r="M15" s="201"/>
      <c r="N15" s="201"/>
      <c r="O15" s="201"/>
      <c r="P15" s="201"/>
      <c r="Q15" s="201"/>
      <c r="R15" s="201"/>
      <c r="S15" s="201"/>
      <c r="T15" s="201"/>
      <c r="U15" s="201"/>
      <c r="V15" s="201"/>
      <c r="W15" s="201"/>
      <c r="X15" s="201"/>
      <c r="Y15" s="201"/>
    </row>
    <row r="16" spans="2:25" ht="13" thickBot="1"/>
    <row r="17" spans="2:25" ht="18" thickBot="1">
      <c r="B17" s="422" t="s">
        <v>408</v>
      </c>
      <c r="C17" s="423"/>
      <c r="D17" s="423"/>
      <c r="E17" s="423"/>
      <c r="F17" s="423"/>
      <c r="G17" s="423"/>
      <c r="H17" s="423"/>
      <c r="I17" s="423"/>
      <c r="J17" s="423"/>
      <c r="K17" s="423"/>
      <c r="L17" s="423"/>
      <c r="M17" s="423"/>
      <c r="N17" s="423"/>
      <c r="O17" s="423"/>
      <c r="P17" s="423"/>
      <c r="Q17" s="423"/>
      <c r="R17" s="423"/>
      <c r="S17" s="423"/>
      <c r="T17" s="423"/>
      <c r="U17" s="423"/>
      <c r="V17" s="423"/>
      <c r="W17" s="423"/>
      <c r="X17" s="423"/>
      <c r="Y17" s="424"/>
    </row>
    <row r="18" spans="2:25" ht="13" thickBot="1"/>
    <row r="19" spans="2:25" ht="162" thickBot="1">
      <c r="B19" s="202" t="s">
        <v>388</v>
      </c>
      <c r="C19" s="203" t="s">
        <v>395</v>
      </c>
      <c r="D19" s="203" t="s">
        <v>396</v>
      </c>
      <c r="E19" s="203" t="s">
        <v>397</v>
      </c>
      <c r="F19" s="203" t="s">
        <v>398</v>
      </c>
      <c r="G19" s="203" t="s">
        <v>399</v>
      </c>
      <c r="H19" s="203" t="s">
        <v>400</v>
      </c>
      <c r="I19" s="203" t="s">
        <v>401</v>
      </c>
      <c r="J19" s="203" t="s">
        <v>402</v>
      </c>
      <c r="K19" s="203" t="s">
        <v>390</v>
      </c>
      <c r="L19" s="203" t="s">
        <v>389</v>
      </c>
      <c r="M19" s="203" t="s">
        <v>403</v>
      </c>
      <c r="N19" s="203" t="s">
        <v>404</v>
      </c>
      <c r="O19" s="203" t="s">
        <v>391</v>
      </c>
      <c r="P19" s="203" t="s">
        <v>392</v>
      </c>
      <c r="Q19" s="203" t="s">
        <v>405</v>
      </c>
      <c r="R19" s="203" t="s">
        <v>409</v>
      </c>
      <c r="S19" s="203" t="s">
        <v>410</v>
      </c>
      <c r="T19" s="203" t="s">
        <v>393</v>
      </c>
      <c r="U19" s="203" t="s">
        <v>411</v>
      </c>
      <c r="V19" s="203" t="s">
        <v>412</v>
      </c>
      <c r="W19" s="203" t="s">
        <v>413</v>
      </c>
      <c r="X19" s="203" t="s">
        <v>414</v>
      </c>
      <c r="Y19" s="203" t="s">
        <v>415</v>
      </c>
    </row>
    <row r="20" spans="2:25" ht="16" thickBot="1">
      <c r="B20" s="204" t="s">
        <v>89</v>
      </c>
      <c r="C20" s="201" t="s">
        <v>394</v>
      </c>
      <c r="D20" s="201"/>
      <c r="E20" s="201"/>
      <c r="F20" s="201"/>
      <c r="G20" s="201"/>
      <c r="H20" s="201"/>
      <c r="I20" s="201"/>
      <c r="J20" s="201"/>
      <c r="K20" s="201"/>
      <c r="L20" s="201"/>
      <c r="M20" s="201"/>
      <c r="N20" s="201"/>
      <c r="O20" s="201"/>
      <c r="P20" s="201"/>
      <c r="Q20" s="201"/>
      <c r="R20" s="201"/>
      <c r="S20" s="201"/>
      <c r="T20" s="201"/>
      <c r="U20" s="201"/>
      <c r="V20" s="201"/>
      <c r="W20" s="201"/>
      <c r="X20" s="201"/>
      <c r="Y20" s="201"/>
    </row>
    <row r="21" spans="2:25" ht="16" thickBot="1">
      <c r="B21" s="204" t="s">
        <v>90</v>
      </c>
      <c r="C21" s="201"/>
      <c r="D21" s="201"/>
      <c r="E21" s="201"/>
      <c r="F21" s="201"/>
      <c r="G21" s="201"/>
      <c r="H21" s="201"/>
      <c r="I21" s="201"/>
      <c r="J21" s="201"/>
      <c r="K21" s="201"/>
      <c r="L21" s="201"/>
      <c r="M21" s="201"/>
      <c r="N21" s="201"/>
      <c r="O21" s="201"/>
      <c r="P21" s="201"/>
      <c r="Q21" s="201"/>
      <c r="R21" s="201"/>
      <c r="S21" s="201"/>
      <c r="T21" s="201"/>
      <c r="U21" s="201"/>
      <c r="V21" s="201"/>
      <c r="W21" s="201"/>
      <c r="X21" s="201"/>
      <c r="Y21" s="201"/>
    </row>
    <row r="22" spans="2:25" ht="16" thickBot="1">
      <c r="B22" s="204" t="s">
        <v>91</v>
      </c>
      <c r="C22" s="201"/>
      <c r="D22" s="201"/>
      <c r="E22" s="201"/>
      <c r="F22" s="201"/>
      <c r="G22" s="201"/>
      <c r="H22" s="201"/>
      <c r="I22" s="201"/>
      <c r="J22" s="201"/>
      <c r="K22" s="201"/>
      <c r="L22" s="201"/>
      <c r="M22" s="201"/>
      <c r="N22" s="201"/>
      <c r="O22" s="201"/>
      <c r="P22" s="201"/>
      <c r="Q22" s="201"/>
      <c r="R22" s="201"/>
      <c r="S22" s="201"/>
      <c r="T22" s="201"/>
      <c r="U22" s="201"/>
      <c r="V22" s="201"/>
      <c r="W22" s="201"/>
      <c r="X22" s="201"/>
      <c r="Y22" s="201"/>
    </row>
    <row r="23" spans="2:25" ht="16" thickBot="1">
      <c r="B23" s="204" t="s">
        <v>92</v>
      </c>
      <c r="C23" s="201"/>
      <c r="D23" s="201"/>
      <c r="E23" s="201"/>
      <c r="F23" s="201"/>
      <c r="G23" s="201"/>
      <c r="H23" s="201"/>
      <c r="I23" s="201"/>
      <c r="J23" s="201"/>
      <c r="K23" s="201"/>
      <c r="L23" s="201"/>
      <c r="M23" s="201"/>
      <c r="N23" s="201"/>
      <c r="O23" s="201"/>
      <c r="P23" s="201"/>
      <c r="Q23" s="201"/>
      <c r="R23" s="201"/>
      <c r="S23" s="201"/>
      <c r="T23" s="201"/>
      <c r="U23" s="201"/>
      <c r="V23" s="201"/>
      <c r="W23" s="201"/>
      <c r="X23" s="201"/>
      <c r="Y23" s="201"/>
    </row>
    <row r="24" spans="2:25" ht="16" thickBot="1">
      <c r="B24" s="204" t="s">
        <v>98</v>
      </c>
      <c r="C24" s="201"/>
      <c r="D24" s="201"/>
      <c r="E24" s="201"/>
      <c r="F24" s="201"/>
      <c r="G24" s="201"/>
      <c r="H24" s="201"/>
      <c r="I24" s="201"/>
      <c r="J24" s="201"/>
      <c r="K24" s="201"/>
      <c r="L24" s="201"/>
      <c r="M24" s="201"/>
      <c r="N24" s="201"/>
      <c r="O24" s="201"/>
      <c r="P24" s="201"/>
      <c r="Q24" s="201"/>
      <c r="R24" s="201"/>
      <c r="S24" s="201"/>
      <c r="T24" s="201"/>
      <c r="U24" s="201"/>
      <c r="V24" s="201"/>
      <c r="W24" s="201"/>
      <c r="X24" s="201"/>
      <c r="Y24" s="201"/>
    </row>
    <row r="25" spans="2:25" ht="16" thickBot="1">
      <c r="B25" s="204" t="s">
        <v>100</v>
      </c>
      <c r="C25" s="201"/>
      <c r="D25" s="201"/>
      <c r="E25" s="201"/>
      <c r="F25" s="201"/>
      <c r="G25" s="201"/>
      <c r="H25" s="201"/>
      <c r="I25" s="201"/>
      <c r="J25" s="201"/>
      <c r="K25" s="201"/>
      <c r="L25" s="201"/>
      <c r="M25" s="201"/>
      <c r="N25" s="201"/>
      <c r="O25" s="201"/>
      <c r="P25" s="201"/>
      <c r="Q25" s="201"/>
      <c r="R25" s="201"/>
      <c r="S25" s="201"/>
      <c r="T25" s="201"/>
      <c r="U25" s="201"/>
      <c r="V25" s="201"/>
      <c r="W25" s="201"/>
      <c r="X25" s="201"/>
      <c r="Y25" s="201"/>
    </row>
    <row r="26" spans="2:25" ht="16" thickBot="1">
      <c r="B26" s="204" t="s">
        <v>101</v>
      </c>
      <c r="C26" s="201"/>
      <c r="D26" s="201"/>
      <c r="E26" s="201"/>
      <c r="F26" s="201"/>
      <c r="G26" s="201"/>
      <c r="H26" s="201"/>
      <c r="I26" s="201"/>
      <c r="J26" s="201"/>
      <c r="K26" s="201"/>
      <c r="L26" s="201"/>
      <c r="M26" s="201"/>
      <c r="N26" s="201"/>
      <c r="O26" s="201"/>
      <c r="P26" s="201"/>
      <c r="Q26" s="201"/>
      <c r="R26" s="201"/>
      <c r="S26" s="201"/>
      <c r="T26" s="201"/>
      <c r="U26" s="201"/>
      <c r="V26" s="201"/>
      <c r="W26" s="201"/>
      <c r="X26" s="201"/>
      <c r="Y26" s="201"/>
    </row>
    <row r="27" spans="2:25" ht="16" thickBot="1">
      <c r="B27" s="204" t="s">
        <v>386</v>
      </c>
      <c r="C27" s="201"/>
      <c r="D27" s="201"/>
      <c r="E27" s="201"/>
      <c r="F27" s="201"/>
      <c r="G27" s="201"/>
      <c r="H27" s="201"/>
      <c r="I27" s="201"/>
      <c r="J27" s="201"/>
      <c r="K27" s="201"/>
      <c r="L27" s="201"/>
      <c r="M27" s="201"/>
      <c r="N27" s="201"/>
      <c r="O27" s="201"/>
      <c r="P27" s="201"/>
      <c r="Q27" s="201"/>
      <c r="R27" s="201"/>
      <c r="S27" s="201"/>
      <c r="T27" s="201"/>
      <c r="U27" s="201"/>
      <c r="V27" s="201"/>
      <c r="W27" s="201"/>
      <c r="X27" s="201"/>
      <c r="Y27" s="201"/>
    </row>
    <row r="28" spans="2:25" ht="16" thickBot="1">
      <c r="B28" s="204" t="s">
        <v>387</v>
      </c>
      <c r="C28" s="201"/>
      <c r="D28" s="201"/>
      <c r="E28" s="201"/>
      <c r="F28" s="201"/>
      <c r="G28" s="201"/>
      <c r="H28" s="201"/>
      <c r="I28" s="201"/>
      <c r="J28" s="201"/>
      <c r="K28" s="201"/>
      <c r="L28" s="201"/>
      <c r="M28" s="201"/>
      <c r="N28" s="201"/>
      <c r="O28" s="201"/>
      <c r="P28" s="201"/>
      <c r="Q28" s="201"/>
      <c r="R28" s="201"/>
      <c r="S28" s="201"/>
      <c r="T28" s="201"/>
      <c r="U28" s="201"/>
      <c r="V28" s="201"/>
      <c r="W28" s="201"/>
      <c r="X28" s="201"/>
      <c r="Y28" s="201"/>
    </row>
  </sheetData>
  <mergeCells count="3">
    <mergeCell ref="B2:Y2"/>
    <mergeCell ref="B4:Y4"/>
    <mergeCell ref="B17:Y1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92"/>
  <sheetViews>
    <sheetView showGridLines="0" workbookViewId="0">
      <selection activeCell="J25" sqref="J25"/>
    </sheetView>
  </sheetViews>
  <sheetFormatPr baseColWidth="10" defaultRowHeight="12" x14ac:dyDescent="0"/>
  <cols>
    <col min="1" max="1" width="2.6640625" customWidth="1"/>
    <col min="2" max="2" width="21.5" style="3" customWidth="1"/>
    <col min="3" max="3" width="5.83203125" bestFit="1" customWidth="1"/>
    <col min="4" max="4" width="5" customWidth="1"/>
    <col min="5" max="5" width="14" customWidth="1"/>
    <col min="6" max="6" width="6.83203125" bestFit="1" customWidth="1"/>
    <col min="7" max="7" width="21.6640625" bestFit="1" customWidth="1"/>
    <col min="8" max="8" width="19.1640625" customWidth="1"/>
    <col min="9" max="9" width="21.6640625" bestFit="1" customWidth="1"/>
    <col min="10" max="10" width="5.83203125" bestFit="1" customWidth="1"/>
  </cols>
  <sheetData>
    <row r="1" spans="2:10" ht="13" thickBot="1"/>
    <row r="2" spans="2:10" ht="23" customHeight="1" thickBot="1">
      <c r="B2" s="398" t="s">
        <v>120</v>
      </c>
      <c r="C2" s="399"/>
      <c r="D2" s="399"/>
      <c r="E2" s="399"/>
      <c r="F2" s="399"/>
      <c r="G2" s="399"/>
      <c r="H2" s="399"/>
      <c r="I2" s="399"/>
      <c r="J2" s="400"/>
    </row>
    <row r="3" spans="2:10" ht="13" thickBot="1"/>
    <row r="4" spans="2:10" ht="13" thickBot="1">
      <c r="B4" s="425" t="s">
        <v>77</v>
      </c>
      <c r="C4" s="427"/>
      <c r="E4" s="425" t="s">
        <v>88</v>
      </c>
      <c r="F4" s="426"/>
      <c r="G4" s="427"/>
      <c r="I4" s="425" t="s">
        <v>116</v>
      </c>
      <c r="J4" s="427"/>
    </row>
    <row r="5" spans="2:10" ht="13" thickBot="1">
      <c r="E5" s="3"/>
      <c r="F5" s="3"/>
      <c r="I5" s="3"/>
    </row>
    <row r="6" spans="2:10" ht="14" thickBot="1">
      <c r="B6" s="20" t="s">
        <v>79</v>
      </c>
      <c r="C6" s="12" t="s">
        <v>78</v>
      </c>
      <c r="E6" s="20" t="s">
        <v>79</v>
      </c>
      <c r="F6" s="20" t="s">
        <v>78</v>
      </c>
      <c r="G6" s="12" t="s">
        <v>93</v>
      </c>
      <c r="I6" s="20" t="s">
        <v>79</v>
      </c>
      <c r="J6" s="12" t="s">
        <v>78</v>
      </c>
    </row>
    <row r="7" spans="2:10" ht="14" thickBot="1">
      <c r="B7" s="17" t="s">
        <v>80</v>
      </c>
      <c r="C7" s="6" t="s">
        <v>87</v>
      </c>
      <c r="E7" s="17" t="s">
        <v>89</v>
      </c>
      <c r="F7" s="17" t="s">
        <v>113</v>
      </c>
      <c r="G7" s="6" t="s">
        <v>89</v>
      </c>
      <c r="I7" s="17" t="s">
        <v>119</v>
      </c>
      <c r="J7" s="6">
        <v>0</v>
      </c>
    </row>
    <row r="8" spans="2:10" ht="14" thickBot="1">
      <c r="B8" s="17" t="s">
        <v>81</v>
      </c>
      <c r="C8" s="6" t="s">
        <v>86</v>
      </c>
      <c r="E8" s="17" t="s">
        <v>90</v>
      </c>
      <c r="F8" s="17" t="s">
        <v>108</v>
      </c>
      <c r="G8" s="6" t="s">
        <v>94</v>
      </c>
      <c r="I8" s="17" t="s">
        <v>118</v>
      </c>
      <c r="J8" s="6">
        <v>1</v>
      </c>
    </row>
    <row r="9" spans="2:10" ht="14" thickBot="1">
      <c r="B9" s="17" t="s">
        <v>82</v>
      </c>
      <c r="C9" s="6" t="s">
        <v>85</v>
      </c>
      <c r="E9" s="17" t="s">
        <v>91</v>
      </c>
      <c r="F9" s="17" t="s">
        <v>109</v>
      </c>
      <c r="G9" s="6" t="s">
        <v>95</v>
      </c>
      <c r="I9" s="17" t="s">
        <v>117</v>
      </c>
      <c r="J9" s="6">
        <v>2</v>
      </c>
    </row>
    <row r="10" spans="2:10" ht="14" thickBot="1">
      <c r="B10" s="17" t="s">
        <v>83</v>
      </c>
      <c r="C10" s="6" t="s">
        <v>84</v>
      </c>
      <c r="E10" s="17" t="s">
        <v>92</v>
      </c>
      <c r="F10" s="17" t="s">
        <v>110</v>
      </c>
      <c r="G10" s="6" t="s">
        <v>97</v>
      </c>
    </row>
    <row r="11" spans="2:10" ht="14" thickBot="1">
      <c r="E11" s="17" t="s">
        <v>98</v>
      </c>
      <c r="F11" s="17" t="s">
        <v>111</v>
      </c>
      <c r="G11" s="6" t="s">
        <v>99</v>
      </c>
      <c r="I11" s="20" t="s">
        <v>138</v>
      </c>
    </row>
    <row r="12" spans="2:10" ht="13" thickBot="1">
      <c r="E12" s="19" t="s">
        <v>100</v>
      </c>
      <c r="F12" s="19" t="s">
        <v>112</v>
      </c>
      <c r="G12" s="19" t="s">
        <v>103</v>
      </c>
      <c r="I12" s="17" t="s">
        <v>139</v>
      </c>
    </row>
    <row r="13" spans="2:10" ht="14" thickBot="1">
      <c r="E13" s="17" t="s">
        <v>101</v>
      </c>
      <c r="F13" s="17" t="s">
        <v>114</v>
      </c>
      <c r="G13" s="6" t="s">
        <v>102</v>
      </c>
      <c r="I13" s="17" t="s">
        <v>140</v>
      </c>
    </row>
    <row r="15" spans="2:10" ht="13" thickBot="1">
      <c r="B15"/>
    </row>
    <row r="16" spans="2:10" ht="13" thickBot="1">
      <c r="B16" s="425" t="s">
        <v>121</v>
      </c>
      <c r="C16" s="427"/>
      <c r="E16" s="425" t="s">
        <v>167</v>
      </c>
      <c r="F16" s="426"/>
      <c r="G16" s="426"/>
      <c r="H16" s="426"/>
      <c r="I16" s="427"/>
    </row>
    <row r="17" spans="2:10" ht="13" thickBot="1">
      <c r="B17"/>
      <c r="E17" s="3"/>
      <c r="F17" s="3"/>
    </row>
    <row r="18" spans="2:10" ht="14" thickBot="1">
      <c r="B18" s="18" t="s">
        <v>122</v>
      </c>
      <c r="E18" s="20" t="s">
        <v>168</v>
      </c>
      <c r="F18" s="20" t="s">
        <v>169</v>
      </c>
      <c r="G18" s="20" t="s">
        <v>328</v>
      </c>
      <c r="H18" s="12" t="s">
        <v>170</v>
      </c>
      <c r="I18" s="12" t="s">
        <v>336</v>
      </c>
    </row>
    <row r="19" spans="2:10" ht="14" thickBot="1">
      <c r="B19"/>
      <c r="E19" s="35">
        <v>0</v>
      </c>
      <c r="F19" s="35"/>
      <c r="G19" s="187"/>
      <c r="H19" s="189" t="s">
        <v>337</v>
      </c>
      <c r="I19" s="189" t="s">
        <v>338</v>
      </c>
    </row>
    <row r="20" spans="2:10" ht="14" thickBot="1">
      <c r="B20"/>
      <c r="E20" s="35">
        <v>1</v>
      </c>
      <c r="F20" s="35">
        <v>60</v>
      </c>
      <c r="G20" s="187" t="s">
        <v>329</v>
      </c>
      <c r="H20" s="189" t="s">
        <v>171</v>
      </c>
      <c r="I20" s="189" t="s">
        <v>101</v>
      </c>
    </row>
    <row r="21" spans="2:10" ht="14" thickBot="1">
      <c r="B21"/>
      <c r="E21" s="35">
        <v>2</v>
      </c>
      <c r="F21" s="35">
        <v>70</v>
      </c>
      <c r="G21" s="187" t="s">
        <v>330</v>
      </c>
      <c r="H21" s="189" t="s">
        <v>172</v>
      </c>
      <c r="I21" s="189" t="s">
        <v>91</v>
      </c>
    </row>
    <row r="22" spans="2:10" ht="13" thickBot="1">
      <c r="B22"/>
      <c r="E22" s="28">
        <v>3</v>
      </c>
      <c r="F22" s="190">
        <v>80</v>
      </c>
      <c r="G22" s="188" t="s">
        <v>331</v>
      </c>
      <c r="H22" s="27" t="s">
        <v>333</v>
      </c>
      <c r="I22" s="27" t="s">
        <v>90</v>
      </c>
    </row>
    <row r="23" spans="2:10" ht="13" thickBot="1">
      <c r="B23"/>
      <c r="E23" s="28">
        <v>4</v>
      </c>
      <c r="F23" s="190">
        <v>85</v>
      </c>
      <c r="G23" s="188" t="s">
        <v>331</v>
      </c>
      <c r="H23" s="27" t="s">
        <v>335</v>
      </c>
      <c r="I23" s="27" t="s">
        <v>339</v>
      </c>
      <c r="J23">
        <v>155</v>
      </c>
    </row>
    <row r="24" spans="2:10" ht="13" thickBot="1">
      <c r="B24"/>
      <c r="E24" s="28">
        <v>5</v>
      </c>
      <c r="F24" s="190">
        <v>90</v>
      </c>
      <c r="G24" s="188" t="s">
        <v>332</v>
      </c>
      <c r="H24" s="27" t="s">
        <v>345</v>
      </c>
      <c r="I24" s="27" t="s">
        <v>340</v>
      </c>
    </row>
    <row r="25" spans="2:10" ht="13" thickBot="1">
      <c r="B25"/>
      <c r="E25" s="28">
        <v>6</v>
      </c>
      <c r="F25" s="190">
        <v>100</v>
      </c>
      <c r="G25" s="188" t="s">
        <v>332</v>
      </c>
      <c r="H25" s="27" t="s">
        <v>345</v>
      </c>
      <c r="I25" s="27" t="s">
        <v>342</v>
      </c>
      <c r="J25">
        <v>176</v>
      </c>
    </row>
    <row r="26" spans="2:10" ht="13" thickBot="1">
      <c r="B26"/>
      <c r="E26" s="28">
        <v>7</v>
      </c>
      <c r="F26" s="190">
        <v>105</v>
      </c>
      <c r="G26" s="188" t="s">
        <v>332</v>
      </c>
      <c r="H26" s="27" t="s">
        <v>344</v>
      </c>
      <c r="I26" s="27" t="s">
        <v>343</v>
      </c>
    </row>
    <row r="27" spans="2:10" ht="13" thickBot="1">
      <c r="B27"/>
      <c r="E27" s="190">
        <v>8</v>
      </c>
      <c r="F27" s="19" t="s">
        <v>341</v>
      </c>
      <c r="G27" s="25" t="s">
        <v>334</v>
      </c>
      <c r="H27" s="24"/>
      <c r="I27" s="24"/>
    </row>
    <row r="28" spans="2:10">
      <c r="B28"/>
    </row>
    <row r="29" spans="2:10">
      <c r="B29"/>
    </row>
    <row r="30" spans="2:10">
      <c r="B30" s="18" t="s">
        <v>533</v>
      </c>
    </row>
    <row r="31" spans="2:10">
      <c r="B31" s="18" t="s">
        <v>534</v>
      </c>
    </row>
    <row r="32" spans="2:10">
      <c r="B32" s="18" t="s">
        <v>535</v>
      </c>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sheetData>
  <mergeCells count="6">
    <mergeCell ref="E16:I16"/>
    <mergeCell ref="B2:J2"/>
    <mergeCell ref="B4:C4"/>
    <mergeCell ref="E4:G4"/>
    <mergeCell ref="I4:J4"/>
    <mergeCell ref="B16:C1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showRowColHeaders="0" zoomScale="102" workbookViewId="0">
      <selection activeCell="B5" sqref="B5"/>
    </sheetView>
  </sheetViews>
  <sheetFormatPr baseColWidth="10" defaultColWidth="11.5" defaultRowHeight="12" x14ac:dyDescent="0"/>
  <cols>
    <col min="1" max="2" width="11.5" style="36"/>
    <col min="3" max="3" width="4.33203125" style="36" customWidth="1"/>
    <col min="4" max="4" width="11.5" style="36"/>
    <col min="5" max="6" width="5.6640625" style="36" customWidth="1"/>
    <col min="7" max="8" width="11.5" style="36"/>
    <col min="9" max="9" width="4.33203125" style="36" customWidth="1"/>
    <col min="10" max="11" width="11.5" style="36"/>
    <col min="12" max="12" width="6.5" style="36" customWidth="1"/>
    <col min="13" max="13" width="8.5" style="36" customWidth="1"/>
    <col min="14" max="16384" width="11.5" style="36"/>
  </cols>
  <sheetData>
    <row r="1" spans="1:15" ht="24.75" customHeight="1" thickBot="1">
      <c r="A1" s="429" t="s">
        <v>294</v>
      </c>
      <c r="B1" s="430"/>
      <c r="C1" s="430"/>
      <c r="D1" s="430"/>
      <c r="E1" s="430"/>
      <c r="F1" s="430"/>
      <c r="G1" s="430"/>
      <c r="H1" s="430"/>
      <c r="I1" s="430"/>
      <c r="J1" s="430"/>
      <c r="K1" s="430"/>
      <c r="L1" s="430"/>
      <c r="M1" s="430"/>
      <c r="N1" s="430"/>
      <c r="O1" s="431"/>
    </row>
    <row r="2" spans="1:15" ht="12.75" customHeight="1"/>
    <row r="3" spans="1:15">
      <c r="A3" s="37" t="s">
        <v>295</v>
      </c>
      <c r="J3" s="95"/>
    </row>
    <row r="4" spans="1:15" ht="7.5" customHeight="1" thickBot="1">
      <c r="A4" s="37"/>
      <c r="J4" s="95"/>
    </row>
    <row r="5" spans="1:15" ht="13" thickBot="1">
      <c r="A5" s="171" t="s">
        <v>296</v>
      </c>
      <c r="B5" s="172">
        <v>98.3</v>
      </c>
      <c r="C5" s="118"/>
      <c r="D5" s="171" t="s">
        <v>297</v>
      </c>
      <c r="E5" s="432">
        <v>5549</v>
      </c>
      <c r="F5" s="433"/>
      <c r="G5" s="171" t="s">
        <v>298</v>
      </c>
      <c r="H5" s="173">
        <v>5734</v>
      </c>
      <c r="I5" s="154"/>
      <c r="K5" s="174" t="s">
        <v>299</v>
      </c>
      <c r="L5" s="174"/>
      <c r="M5" s="36" t="s">
        <v>300</v>
      </c>
    </row>
    <row r="6" spans="1:15" ht="13" thickBot="1">
      <c r="M6" s="36" t="s">
        <v>301</v>
      </c>
    </row>
    <row r="7" spans="1:15" ht="12.75" customHeight="1">
      <c r="E7" s="434">
        <f>IF(OR(B5="",B5=0),"",SUM(B5+(0.00000012*E5*E5)+(0.00572*E5)+(0.00000012*H5*H5)+(0.0005*H5)))</f>
        <v>140.54769883999998</v>
      </c>
      <c r="F7" s="435"/>
      <c r="G7" s="175"/>
      <c r="L7" s="36" t="s">
        <v>302</v>
      </c>
      <c r="M7" s="36" t="s">
        <v>303</v>
      </c>
    </row>
    <row r="8" spans="1:15" ht="13.5" customHeight="1" thickBot="1">
      <c r="A8" s="438" t="s">
        <v>304</v>
      </c>
      <c r="B8" s="438"/>
      <c r="C8" s="438"/>
      <c r="D8" s="439"/>
      <c r="E8" s="436"/>
      <c r="F8" s="437"/>
      <c r="G8" s="175"/>
      <c r="L8" s="36" t="s">
        <v>305</v>
      </c>
      <c r="M8" s="36" t="s">
        <v>306</v>
      </c>
    </row>
    <row r="9" spans="1:15">
      <c r="G9" s="44"/>
      <c r="L9" s="36" t="s">
        <v>307</v>
      </c>
      <c r="M9" s="176">
        <v>0.2</v>
      </c>
      <c r="O9" s="177"/>
    </row>
    <row r="10" spans="1:15">
      <c r="A10" s="37" t="s">
        <v>308</v>
      </c>
      <c r="L10" s="36" t="s">
        <v>309</v>
      </c>
      <c r="M10" s="176">
        <v>0.7</v>
      </c>
    </row>
    <row r="11" spans="1:15">
      <c r="A11" s="64" t="s">
        <v>310</v>
      </c>
      <c r="L11" s="36" t="s">
        <v>311</v>
      </c>
      <c r="M11" s="176">
        <v>0.1</v>
      </c>
    </row>
    <row r="12" spans="1:15" ht="6.75" customHeight="1" thickBot="1">
      <c r="A12" s="37"/>
    </row>
    <row r="13" spans="1:15">
      <c r="B13" s="428" t="s">
        <v>312</v>
      </c>
      <c r="C13" s="428"/>
      <c r="D13" s="428"/>
      <c r="E13" s="178">
        <v>20</v>
      </c>
    </row>
    <row r="14" spans="1:15">
      <c r="B14" s="428" t="s">
        <v>313</v>
      </c>
      <c r="C14" s="428"/>
      <c r="D14" s="428"/>
      <c r="E14" s="179">
        <v>70</v>
      </c>
    </row>
    <row r="15" spans="1:15">
      <c r="B15" s="428" t="s">
        <v>314</v>
      </c>
      <c r="C15" s="428"/>
      <c r="D15" s="428"/>
      <c r="E15" s="179">
        <v>10</v>
      </c>
    </row>
    <row r="16" spans="1:15">
      <c r="B16" s="428" t="s">
        <v>315</v>
      </c>
      <c r="C16" s="428"/>
      <c r="D16" s="428"/>
      <c r="E16" s="179"/>
    </row>
    <row r="17" spans="1:13" ht="13" thickBot="1">
      <c r="B17" s="428" t="s">
        <v>316</v>
      </c>
      <c r="C17" s="428"/>
      <c r="D17" s="428"/>
      <c r="E17" s="180"/>
    </row>
    <row r="18" spans="1:13" ht="7.5" customHeight="1">
      <c r="B18" s="48"/>
      <c r="C18" s="48"/>
      <c r="D18" s="44"/>
    </row>
    <row r="19" spans="1:13" ht="13" thickBot="1">
      <c r="B19" s="446" t="str">
        <f>IF(E19=100,"","il faut 100% !!")</f>
        <v/>
      </c>
      <c r="C19" s="446"/>
      <c r="D19" s="446"/>
      <c r="E19" s="181">
        <f>SUM(E13:E18)</f>
        <v>100</v>
      </c>
      <c r="F19" s="48" t="s">
        <v>317</v>
      </c>
    </row>
    <row r="20" spans="1:13" ht="12.75" customHeight="1">
      <c r="J20" s="447">
        <f>IF(E7="","",IF(E19=0,E7,SUM(((E13/100)+((E14*1.0204)/100)+((E15*1.0526)/100)+((E16*1.1364)/100)+((E17*1.25)/100))*E7)))</f>
        <v>143.29400087533355</v>
      </c>
      <c r="K20" s="448"/>
    </row>
    <row r="21" spans="1:13" ht="13.5" customHeight="1" thickBot="1">
      <c r="A21" s="438" t="s">
        <v>318</v>
      </c>
      <c r="B21" s="438"/>
      <c r="C21" s="438"/>
      <c r="D21" s="438"/>
      <c r="E21" s="438"/>
      <c r="F21" s="438"/>
      <c r="G21" s="438"/>
      <c r="H21" s="438"/>
      <c r="I21" s="451"/>
      <c r="J21" s="449"/>
      <c r="K21" s="450"/>
    </row>
    <row r="22" spans="1:13" ht="13.5" customHeight="1"/>
    <row r="23" spans="1:13" ht="13.5" customHeight="1" thickBot="1">
      <c r="A23" s="37" t="s">
        <v>319</v>
      </c>
    </row>
    <row r="24" spans="1:13" ht="13" thickBot="1">
      <c r="H24" s="440" t="s">
        <v>320</v>
      </c>
      <c r="I24" s="440"/>
      <c r="J24" s="440"/>
      <c r="K24" s="440"/>
      <c r="L24" s="441" t="s">
        <v>321</v>
      </c>
      <c r="M24" s="442"/>
    </row>
    <row r="25" spans="1:13" ht="13" thickBot="1">
      <c r="A25" s="37"/>
      <c r="B25" s="41">
        <v>28</v>
      </c>
      <c r="C25" s="36" t="s">
        <v>261</v>
      </c>
      <c r="D25" s="42"/>
      <c r="E25" s="36" t="s">
        <v>322</v>
      </c>
      <c r="F25" s="42"/>
      <c r="G25" s="36" t="s">
        <v>178</v>
      </c>
      <c r="H25" s="440"/>
      <c r="I25" s="440"/>
      <c r="J25" s="440"/>
      <c r="K25" s="440"/>
      <c r="L25" s="443"/>
      <c r="M25" s="444"/>
    </row>
    <row r="26" spans="1:13">
      <c r="D26" s="44"/>
    </row>
    <row r="27" spans="1:13">
      <c r="A27" s="37" t="s">
        <v>323</v>
      </c>
    </row>
    <row r="28" spans="1:13" ht="13" thickBot="1">
      <c r="A28" s="37"/>
    </row>
    <row r="29" spans="1:13" ht="13" thickBot="1">
      <c r="B29" s="438" t="s">
        <v>324</v>
      </c>
      <c r="C29" s="438"/>
      <c r="D29" s="438"/>
      <c r="G29" s="182">
        <f>IF(OR(OR(B5="",B5=0),AND(OR(B25="",B25=0),OR(D25="",D25=0),OR(F25="",F25=0))),"",SUM((B5/(B25+(D25/60)+(F25/3600)))))</f>
        <v>3.5107142857142857</v>
      </c>
    </row>
    <row r="30" spans="1:13" ht="7.5" customHeight="1" thickBot="1">
      <c r="G30" s="66"/>
    </row>
    <row r="31" spans="1:13" ht="13" thickBot="1">
      <c r="B31" s="37" t="s">
        <v>325</v>
      </c>
      <c r="G31" s="182">
        <f>IF(OR(OR(E7="",E7=0),AND(OR(B25="",B25=0),OR(D25="",D25=0),OR(F25="",F25=0))),"",SUM((E7/(B25+(D25/60)+(F25/3600)))))</f>
        <v>5.0195606728571418</v>
      </c>
      <c r="I31" s="445" t="str">
        <f>IF([1]allures!E47="","","rappel de la vitesse en endurance passive :")</f>
        <v>rappel de la vitesse en endurance passive :</v>
      </c>
      <c r="J31" s="445"/>
      <c r="K31" s="445"/>
      <c r="L31" s="445"/>
      <c r="M31" s="445"/>
    </row>
    <row r="32" spans="1:13" ht="7.5" customHeight="1" thickBot="1">
      <c r="G32" s="66"/>
      <c r="I32" s="445"/>
      <c r="J32" s="445"/>
      <c r="K32" s="445"/>
      <c r="L32" s="445"/>
      <c r="M32" s="445"/>
    </row>
    <row r="33" spans="1:12" ht="13" thickBot="1">
      <c r="B33" s="37" t="s">
        <v>326</v>
      </c>
      <c r="G33" s="182">
        <f>IF(OR(OR(J20="",J20=0),AND(OR(B25="",B25=0),OR(D25="",D25=0),OR(F25="",F25=0))),"",SUM((J20/(B25+(D25/60)+(F25/3600)))))</f>
        <v>5.1176428884047693</v>
      </c>
      <c r="K33" s="183">
        <f>IF([1]allures!E47="","",[1]allures!E47)</f>
        <v>10.799999999999999</v>
      </c>
      <c r="L33" s="184"/>
    </row>
    <row r="34" spans="1:12" ht="13" thickBot="1">
      <c r="G34" s="66"/>
    </row>
    <row r="35" spans="1:12" ht="18.75" customHeight="1" thickBot="1">
      <c r="A35" s="37" t="s">
        <v>327</v>
      </c>
      <c r="G35" s="185">
        <f>IF(OR(B5="",E5=""),"",E5/B5)</f>
        <v>56.449643947100711</v>
      </c>
      <c r="H35" s="186" t="str">
        <f>IF(AND(B5="",E5=""),"Il faut noter le nombre de kilomètres et le dénivelé (+).",IF(B5="","Il faut noter le nombre de kilomètres.",IF(E5="","Il faut noter le dénivelé (+).","")))</f>
        <v/>
      </c>
    </row>
  </sheetData>
  <sheetProtection password="CE2A" sheet="1" objects="1" scenarios="1"/>
  <mergeCells count="16">
    <mergeCell ref="H24:K25"/>
    <mergeCell ref="L24:M25"/>
    <mergeCell ref="B29:D29"/>
    <mergeCell ref="I31:M32"/>
    <mergeCell ref="B15:D15"/>
    <mergeCell ref="B16:D16"/>
    <mergeCell ref="B17:D17"/>
    <mergeCell ref="B19:D19"/>
    <mergeCell ref="J20:K21"/>
    <mergeCell ref="A21:I21"/>
    <mergeCell ref="B14:D14"/>
    <mergeCell ref="A1:O1"/>
    <mergeCell ref="E5:F5"/>
    <mergeCell ref="E7:F8"/>
    <mergeCell ref="A8:D8"/>
    <mergeCell ref="B13:D13"/>
  </mergeCells>
  <conditionalFormatting sqref="B19:D19">
    <cfRule type="cellIs" dxfId="12" priority="1" stopIfTrue="1" operator="notEqual">
      <formula>100</formula>
    </cfRule>
  </conditionalFormatting>
  <conditionalFormatting sqref="E19">
    <cfRule type="cellIs" dxfId="11" priority="2" stopIfTrue="1" operator="equal">
      <formula>100</formula>
    </cfRule>
    <cfRule type="cellIs" dxfId="10" priority="3" stopIfTrue="1" operator="notEqual">
      <formula>100</formula>
    </cfRule>
  </conditionalFormatting>
  <conditionalFormatting sqref="K33">
    <cfRule type="cellIs" dxfId="9" priority="4" stopIfTrue="1" operator="equal">
      <formula>""</formula>
    </cfRule>
  </conditionalFormatting>
  <hyperlinks>
    <hyperlink ref="L24:M25" location="temps!D26" tooltip="Aller vers la feuille temps." display="TEMPS"/>
    <hyperlink ref="I31:M32" location="allures!E47" tooltip="Aller vers la case endurance passive de la feuille allures." display="allures!E47"/>
  </hyperlinks>
  <pageMargins left="0.78740157499999996" right="0.78740157499999996" top="0.984251969" bottom="0.984251969" header="0.4921259845" footer="0.4921259845"/>
  <pageSetup paperSize="9" scale="59" orientation="portrait" horizontalDpi="360" verticalDpi="36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21</vt:i4>
      </vt:variant>
    </vt:vector>
  </HeadingPairs>
  <TitlesOfParts>
    <vt:vector size="21" baseType="lpstr">
      <vt:lpstr>SORTIES 2016</vt:lpstr>
      <vt:lpstr>SORTIES 2015</vt:lpstr>
      <vt:lpstr>PREP MARATHON</vt:lpstr>
      <vt:lpstr>PREPA 1 MARATHON</vt:lpstr>
      <vt:lpstr>PERFS</vt:lpstr>
      <vt:lpstr>MES ALLURES</vt:lpstr>
      <vt:lpstr>PARAMETRES DE MESURE</vt:lpstr>
      <vt:lpstr>DEFINITIONS</vt:lpstr>
      <vt:lpstr>trail</vt:lpstr>
      <vt:lpstr>EQ TRAIL ROUTE</vt:lpstr>
      <vt:lpstr>MATERIEL</vt:lpstr>
      <vt:lpstr>DONNEES</vt:lpstr>
      <vt:lpstr>NATATION</vt:lpstr>
      <vt:lpstr>ALLURE</vt:lpstr>
      <vt:lpstr>allures</vt:lpstr>
      <vt:lpstr>seuil</vt:lpstr>
      <vt:lpstr>ENTRAINEMENTS</vt:lpstr>
      <vt:lpstr>PREP MARA</vt:lpstr>
      <vt:lpstr>PLANIFICATION</vt:lpstr>
      <vt:lpstr>AGENDA</vt:lpstr>
      <vt:lpstr>Feuil1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Bertrand Clech</cp:lastModifiedBy>
  <dcterms:created xsi:type="dcterms:W3CDTF">2015-10-13T15:36:09Z</dcterms:created>
  <dcterms:modified xsi:type="dcterms:W3CDTF">2016-01-22T09:59:07Z</dcterms:modified>
</cp:coreProperties>
</file>