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bookViews>
  <sheets>
    <sheet xmlns:r="http://schemas.openxmlformats.org/officeDocument/2006/relationships" name="Blad1" sheetId="1" state="visible" r:id="rId1"/>
    <sheet xmlns:r="http://schemas.openxmlformats.org/officeDocument/2006/relationships" name="Data" sheetId="2" state="visible" r:id="rId2"/>
  </sheets>
  <definedNames>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 hidden="1" localSheetId="0" name="_xlnm._FilterDatabase">Blad1!$A$1:$M$1854</definedName>
  </definedNames>
  <calcPr calcId="124519" fullCalcOnLoad="1"/>
</workbook>
</file>

<file path=xl/sharedStrings.xml><?xml version="1.0" encoding="utf-8"?>
<sst xmlns="http://schemas.openxmlformats.org/spreadsheetml/2006/main" uniqueCount="2329">
  <si>
    <t>Datum</t>
  </si>
  <si>
    <t>Bedrijfsnaam</t>
  </si>
  <si>
    <t>Stad</t>
  </si>
  <si>
    <t>Behandelaar</t>
  </si>
  <si>
    <t>Taal</t>
  </si>
  <si>
    <t>Ervaringsniveau</t>
  </si>
  <si>
    <t>Jobtitel</t>
  </si>
  <si>
    <t>Link</t>
  </si>
  <si>
    <t>LinkedIN</t>
  </si>
  <si>
    <t>Teamleader</t>
  </si>
  <si>
    <t>Jobomschrijving</t>
  </si>
  <si>
    <t>URL</t>
  </si>
  <si>
    <t>4DotNet</t>
  </si>
  <si>
    <t>NIEUWEGEIN</t>
  </si>
  <si>
    <t>Bram</t>
  </si>
  <si>
    <t>NL</t>
  </si>
  <si>
    <t>Not found</t>
  </si>
  <si>
    <t>Nee</t>
  </si>
  <si>
    <t>Nieuw</t>
  </si>
  <si>
    <t>Als ervaren .NET ontwikkelaar zoek je uitdagende projecten waarin je jouw expertise kan benutten. Als senior developer, lead developer of software architect ben je het technisch aanspreekpunt voor het ontwikkelteam van onze klant. Kortom; je bent een professional die mooie uitdagende projecten zoekt. 4DotNet kan jou van deze projecten voorzien!</t>
  </si>
  <si>
    <t>https://www.jouwictvacature.nl/solliciteren?job=architect-net-bij-4dotnet</t>
  </si>
  <si>
    <t>MEPPEL</t>
  </si>
  <si>
    <t>Leon</t>
  </si>
  <si>
    <t>Ben jij een Microsoft .NET ontwikkelaar die op zoek is naar uitdagende projecten en altijd met de nieuwste technieken bezig wil zijn? Solliciteer dan bij 4DotNet!</t>
  </si>
  <si>
    <t>https://www.jouwictvacature.nl/solliciteren?job=medior-net-ontwikkelaar-bij-4dotnet-2</t>
  </si>
  <si>
    <t>https://www.jouwictvacature.nl/solliciteren?job=senior-net-ontwikkelaar-bij-4dotnet</t>
  </si>
  <si>
    <t>Aan Zee</t>
  </si>
  <si>
    <t xml:space="preserve">NOORDWIJK AAN ZEE </t>
  </si>
  <si>
    <t>Senior</t>
  </si>
  <si>
    <t xml:space="preserve">Senior Laravel DEVELOPER </t>
  </si>
  <si>
    <t>Bij Aan Zee ontwikkel en optimaliseer je high end websites, apps en systemen die bedrijfskritisch zijn. Je maakt ze op maat met een multidisciplinair team van ontwikkelaars. Groeien? Het is een logisch gevolg van onze cultuur en processen.</t>
  </si>
  <si>
    <t>https://www.jouwictvacature.nl/solliciteren?job=senior-laravel-developer-bij-aan-zee-communicatie</t>
  </si>
  <si>
    <t xml:space="preserve">Senior PHP BACK END DEVELOPER </t>
  </si>
  <si>
    <t>https://www.jouwictvacature.nl/solliciteren?job=senior-php-back-end-developer-bij-aan-zee-communicatie</t>
  </si>
  <si>
    <t>Junior</t>
  </si>
  <si>
    <t xml:space="preserve">Junior PHP BACK END DEVELOPER  </t>
  </si>
  <si>
    <t>https://www.jouwictvacature.nl/solliciteren?job=junior-php-back-end-developer-bij-aan-zee-communicatie</t>
  </si>
  <si>
    <t>Advitrae</t>
  </si>
  <si>
    <t>EINDHOVEN</t>
  </si>
  <si>
    <t xml:space="preserve">Senior Front-end Developer </t>
  </si>
  <si>
    <t>"Laten we dan gewoon een nieuwe planning en roosterapplicatie ontwikkelen". Deze zin spraken we ruim 9 jaar geleden uit toen we zagen dat onderwijsinstellingen onvoldoende uit de voeten konden met de bestaande applicaties. Inmiddels is Advitrae met Xedule marktleider in het MBO en HO.</t>
  </si>
  <si>
    <t>https://www.jouwictvacature.nl/solliciteren?job=senior-front-end-developer-bij-advitrae</t>
  </si>
  <si>
    <t xml:space="preserve">Senior Web Developer (focus on front-end) </t>
  </si>
  <si>
    <t>https://www.jouwictvacature.nl/solliciteren?job=senior-web-developer-bij-advitrae</t>
  </si>
  <si>
    <t>Alten</t>
  </si>
  <si>
    <t>CAPELLE AAN DEN IJSSEL</t>
  </si>
  <si>
    <t xml:space="preserve">Senior Java Software Engineer </t>
  </si>
  <si>
    <t>Ligt jouw passie bij techniek en vind je het leuk om complexe technische uitdagingen aan te gaan? Dan past de functie van Java (web) Software Engineer goed bij jou.</t>
  </si>
  <si>
    <t>https://www.jouwictvacature.nl/solliciteren?job=senior-java-software-engineer-bij-alten-capelle</t>
  </si>
  <si>
    <t>Asamco BV</t>
  </si>
  <si>
    <t>BREDA</t>
  </si>
  <si>
    <t>EN</t>
  </si>
  <si>
    <t>Medior</t>
  </si>
  <si>
    <t xml:space="preserve">Medior Front-end (Angular2) Developer </t>
  </si>
  <si>
    <t>We are looking for an experienced, adaptable, highly motivated and outcome-focused Front-end (Angular2) developer to strengthen our team.</t>
  </si>
  <si>
    <t>https://www.jouwictvacature.nl/solliciteren?job=medior-front-end-angular2-developer-bij-asamco-bv</t>
  </si>
  <si>
    <t xml:space="preserve">Senior Front-end (Angular2) Developer  </t>
  </si>
  <si>
    <t>https://www.jouwictvacature.nl/solliciteren?job=senior-front-end-angular2-developer-bij-asamco-bv</t>
  </si>
  <si>
    <t xml:space="preserve">Senior Allround Developer </t>
  </si>
  <si>
    <t xml:space="preserve">We are looking for an experienced, adaptable, highly motivated and outcome-focused All-round developer to strengthen our team. </t>
  </si>
  <si>
    <t>https://www.jouwictvacature.nl/solliciteren?job=senior-allround-developer-bij-asamco-bv</t>
  </si>
  <si>
    <t>Axual</t>
  </si>
  <si>
    <t>UTRECHT</t>
  </si>
  <si>
    <t>Junior Software Engineer at Axual | Java, Scala, Apache Kafka, Spring</t>
  </si>
  <si>
    <t>Are you the software engineer that makes our customer's data dreams come true?</t>
  </si>
  <si>
    <t>https://www.jouwictvacature.nl/solliciteren?job=junior-software-engineer-at-axual--java-scala-apache-kafka-spring-bij-</t>
  </si>
  <si>
    <t>Senior Software Engineer at Axual | Java, Scala, Apache Kafka, Spring</t>
  </si>
  <si>
    <t>https://www.jouwictvacature.nl/solliciteren?job=senior-software-engineer-at-axual--java-scala-apache-kafka-spring-bij-</t>
  </si>
  <si>
    <t>Senior Software Engineer bij Axual | Java, Apache Kafka | Incl. MacBook Pro</t>
  </si>
  <si>
    <t>Heb jij als software engineer al een paar jaar ervaring met het ontwikkelen van Java-applicaties? En lijkt het je leuk om mét en vóór klanten te werken aan slimme dataoplossingen en alles wat daarbij komt kijken? Ben jij in staat zelfstandig hoogstaande streamingapplicaties te bouwen? Bij Axual hebben we een mooie plek voor je in ons getalenteerde team in hartje Utrecht.</t>
  </si>
  <si>
    <t>https://www.jouwictvacature.nl/solliciteren?job=senior-software-engineer-bij-axual--java-apache-kafka--incl-macbook-pr</t>
  </si>
  <si>
    <t>Bartosz</t>
  </si>
  <si>
    <t>ARNHEM</t>
  </si>
  <si>
    <t xml:space="preserve">Testmanager bij Bartosz  </t>
  </si>
  <si>
    <t>Ben jij een ambitieuze consultant met passie voor het testvak? Houd je van afwisseling en uitdaging in opdrachten bij toonaangevende organisaties? En durf jij uit je comfortzone te komen? Kom werken bij Bartosz als Testmanager!</t>
  </si>
  <si>
    <t>https://www.jouwictvacature.nl/solliciteren?job=testmanager-bij-bartosz-bij-bartosz-arnhem</t>
  </si>
  <si>
    <t>ZWOLLE</t>
  </si>
  <si>
    <t xml:space="preserve">Medior Feedback Engineer | Exploratory Testing, Context Driven Testing, BDD, SbE, TDD  </t>
  </si>
  <si>
    <t xml:space="preserve">Wij zijn per direct op zoek naar ervaren feedback engineers! Denk jij dat je een toekomstige Bartoszian bent?_x000D_
</t>
  </si>
  <si>
    <t>https://www.jouwictvacature.nl/solliciteren?job=medior-feedback-engineer--exploratory-testing-context-driven-testing-b-7</t>
  </si>
  <si>
    <t>AMSTERDAM</t>
  </si>
  <si>
    <t>Traineeship Agile Test Engineer bij Bartosz</t>
  </si>
  <si>
    <t>Wij zijn per direct op zoek naar trainee agile test engineers om deel te nemen aan onze ‘Test engineer Traineeship'!</t>
  </si>
  <si>
    <t>https://www.jouwictvacature.nl/solliciteren?job=traineeship-agile-test-engineer-bij-bartosz-bij-bartosz-amsterdam</t>
  </si>
  <si>
    <t xml:space="preserve">Senior Feedback Engineer bij Bartosz  </t>
  </si>
  <si>
    <t>https://www.jouwictvacature.nl/solliciteren?job=senior-feedback-engineer-bij-bartosz-bij-bartosz-zwolle</t>
  </si>
  <si>
    <t xml:space="preserve">Medior Feedback Engineer bij Bartosz  </t>
  </si>
  <si>
    <t>https://www.jouwictvacature.nl/solliciteren?job=medior-feedback-engineer-bij-bartosz-bij-bartosz-zwolle</t>
  </si>
  <si>
    <t>Senior Feedback Engineer bij Bartosz</t>
  </si>
  <si>
    <t>https://www.jouwictvacature.nl/solliciteren?job=senior-feedback-engineer-bij-bartosz-bij-bartosz-utrecht</t>
  </si>
  <si>
    <t>Senior Agile Test Specialist bij Bartosz</t>
  </si>
  <si>
    <t>Heb jij 'hard skills with a soft touch'? Wij zijn per direct op zoek naar agile test specialisten!</t>
  </si>
  <si>
    <t>https://www.jouwictvacature.nl/solliciteren?job=senior-agile-test-specialist-bij-bartosz-bij-bartosz-utrecht</t>
  </si>
  <si>
    <t>ROTTERDAM</t>
  </si>
  <si>
    <t xml:space="preserve">Medior Testanalist bij Bartosz  </t>
  </si>
  <si>
    <t>Ben jij een ambitieuze consultant met passie voor het testvak? Houd je van afwisseling en uitdaging in opdrachten bij toonaangevende organisaties? En durf jij uit je comfortzone te komen? Kom dan werken bij Bartosz als Testanalist!</t>
  </si>
  <si>
    <t>https://www.jouwictvacature.nl/solliciteren?job=medior-testanalist-bij-bartosz-bij-bartosz-rotterdam</t>
  </si>
  <si>
    <t>Junior Testanalist bij Bartosz</t>
  </si>
  <si>
    <t>https://www.jouwictvacature.nl/solliciteren?job=junior-testanalist-bij-bartosz-bij-bartosz-utrecht</t>
  </si>
  <si>
    <t xml:space="preserve">Senior Feedback Engineer | Exploratory Testing, Context Driven Testing, BDD, SbE, TDD  </t>
  </si>
  <si>
    <t>https://www.jouwictvacature.nl/solliciteren?job=senior-feedback-engineer--exploratory-testing-context-driven-testing-b-6</t>
  </si>
  <si>
    <t xml:space="preserve">Medior Agile Test Specialist bij Bartosz  </t>
  </si>
  <si>
    <t>https://www.jouwictvacature.nl/solliciteren?job=medior-agile-test-specialist-bij-bartosz-bij-bartosz-amsterdam-3</t>
  </si>
  <si>
    <t>https://www.jouwictvacature.nl/solliciteren?job=junior-testanalist-bij-bartosz</t>
  </si>
  <si>
    <t>Betabit</t>
  </si>
  <si>
    <t>Betabit zoekt 4 technisch software testers voor haar kantoren in Rotterdam, Eindhoven, Utrecht en Amsterdam.</t>
  </si>
  <si>
    <t>https://www.jouwictvacature.nl/solliciteren?job=technisch-software-tester-bij-betabit</t>
  </si>
  <si>
    <t>Betabit zoekt een .NET Developer voor de Regio Utrecht die persoonlijk een stap omhoog wil.</t>
  </si>
  <si>
    <t>https://www.jouwictvacature.nl/solliciteren?job=junior-net-ontwikkelaar-bij-betabit-regio-utrecht</t>
  </si>
  <si>
    <t>Bloemert</t>
  </si>
  <si>
    <t>Wil jij werken aan complexe, innovatieve maatwerk projecten?  Wij werken voor gerenommeerde klanten en zijn qua projecten niet in één kader te plaatsen. Dit zorgt ervoor dat jouw baan afwisselend en altijd uitdagend is.</t>
  </si>
  <si>
    <t>https://www.jouwictvacature.nl/solliciteren?job=senior-net-developer-bij-bloemert--cnet-aspnet-mvc-javascript</t>
  </si>
  <si>
    <t>STAPHORST</t>
  </si>
  <si>
    <t xml:space="preserve">Wil jij werken aan complexe, innovatieve maatwerk projecten? Dit kan bij Bloennert. Wij werken voor gerenommeerde klanten en zijn qua projecten niet in één kader te plaatsen. Dit zorgt ervoor dat jouw baan afwisselend en altijd uitdagend is._x000D_
</t>
  </si>
  <si>
    <t>https://www.jouwictvacature.nl/solliciteren?job=medior-net-developer-bij-bloemert-groep</t>
  </si>
  <si>
    <t>Bottomline</t>
  </si>
  <si>
    <t>VUGHT</t>
  </si>
  <si>
    <t>Support Medewerker bij Bottomline in Vught</t>
  </si>
  <si>
    <t xml:space="preserve">Ben jij klaar voor een veelzijdige uitdaging waarin je jouw talent als supportmedewerker volledig tot zijn recht kan laten komen?  In de regio Vught zijn we op dit moment op zoek naar iemand die een goede uitdaging niet uit de weg gaat en bereid is om zich verder te ontwikkelen. Is dit jouw volgende stap? </t>
  </si>
  <si>
    <t>https://www.jouwictvacature.nl/solliciteren?job=support-medewerker-bij-bottomline-in-vught-bij-bottomline</t>
  </si>
  <si>
    <t>Werken in een oude Utrechtse watertoren als Junior Java Developer?</t>
  </si>
  <si>
    <t xml:space="preserve">Wil je een nieuwe uitdaging aangaan bij ons ambitieuze bedrijf in een zeer dynamische branche? Weet jij nieuwe ontwikkelingen snel om te zetten naar mogelijkheden voor onze software? Dan is Bottomline op zoek naar jou! </t>
  </si>
  <si>
    <t>https://www.jouwictvacature.nl/solliciteren?job=werken-in-een-oude-utrechtse-watertoren-als-junior-java-developer-bij-</t>
  </si>
  <si>
    <t>Bratpack</t>
  </si>
  <si>
    <t>ZWANENBURG</t>
  </si>
  <si>
    <t>Wij zijn (weer) op zoek naar een front-end developer om ons team uit te breiden. Ben je dus goed in HTML5 / CSS3, heb je veel kennis van Less, JQuery en heb je zin om bij een snelgroeiend internationaal bedrijf te werken, kijk dan gerust even verder!</t>
  </si>
  <si>
    <t>https://www.jouwictvacature.nl/solliciteren?job=medior-front-end-developer-bij-bratpack</t>
  </si>
  <si>
    <t>Brightfish</t>
  </si>
  <si>
    <t>HOOFDDORP</t>
  </si>
  <si>
    <t>Developer C++ / Audio&amp;Video bij Gridshot (theFrontDoor)</t>
  </si>
  <si>
    <t>Ben jij een getalenteerde C++ programmeur die de aspiratie heeft om_x000D_
zich zowel verder als breder te ontwikkelen? Ben je geïnteresseerd in de techniek achter_x000D_
tv-uitzendingen en zie je het als jouw verantwoordelijkheid om stabiele software en applicaties af_x000D_
te leveren die 24/7 gebruikt zullen worden om een tv signaal uit te zenden? Dan zijn wij op zoek_x000D_
naar jou!</t>
  </si>
  <si>
    <t>https://www.jouwictvacature.nl/solliciteren?job=developer-c--audioenvideo-bij-gridshot-thefrontdoor</t>
  </si>
  <si>
    <t>CE FinTech BV</t>
  </si>
  <si>
    <t>Senior .NET Developer bij CE FinTech B.V.</t>
  </si>
  <si>
    <t>Droom jij in .NET en ben je klaar voor een nieuwe uitdaging? Bij CE FinTech B.V. krijg je de kans om de meest innovatieve software te ontwikkelen, op basis van state-of-the-art architectuur! Ben je naast een echte Senior .NET-topper ook nog eens klantgericht en leergierig? Dan zijn we zeker op zoek naar jou!</t>
  </si>
  <si>
    <t>https://www.jouwictvacature.nl/solliciteren?job=senior-net-developer-bij-ce-fintech-bv-</t>
  </si>
  <si>
    <t>CGI</t>
  </si>
  <si>
    <t>GRONINGEN</t>
  </si>
  <si>
    <t xml:space="preserve">CGI </t>
  </si>
  <si>
    <t>Ben jij de ervaren software developer die graag regionaal wil werken aan landelijke en internationale innovatieve oplossingen?</t>
  </si>
  <si>
    <t>https://www.jouwictvacature.nl/solliciteren?job=java-software-developer-bij-cgi</t>
  </si>
  <si>
    <t>https://www.jouwictvacature.nl/solliciteren?job=senior-software-engineer-bij-cgi</t>
  </si>
  <si>
    <t>COAS Software Systems</t>
  </si>
  <si>
    <t>MIDDEL HARNIS</t>
  </si>
  <si>
    <t xml:space="preserve">Senior Full-stack Developer </t>
  </si>
  <si>
    <t xml:space="preserve">Wij zijn op zoek naar meerdere fulltime software engineers die het leuk vinden in een team aan complexe systemen te werken. </t>
  </si>
  <si>
    <t>https://www.jouwictvacature.nl/solliciteren?job=senior-full-stack-developer-bij-coas</t>
  </si>
  <si>
    <t>Medior Allround Developer</t>
  </si>
  <si>
    <t>https://www.jouwictvacature.nl/solliciteren?job=medior-allround-developer-bij-coas</t>
  </si>
  <si>
    <t>Wij zijn op zoek naar meerdere fulltime software engineers die het leuk vinden in een team aan complexe systemen te werken.</t>
  </si>
  <si>
    <t>https://www.jouwictvacature.nl/solliciteren?job=senior-allround-developer-bij-coas</t>
  </si>
  <si>
    <t>De Agile Testers</t>
  </si>
  <si>
    <t>HEEL NEDERLAND</t>
  </si>
  <si>
    <t xml:space="preserve">Senior Agile Tester | Java </t>
  </si>
  <si>
    <t>Wij zijn per direct op zoek naar ervaren Agile Testers!</t>
  </si>
  <si>
    <t>https://www.jouwictvacature.nl/solliciteren?job=senior-agile-tester-3</t>
  </si>
  <si>
    <t>Devoteam</t>
  </si>
  <si>
    <t>DEN HAAG</t>
  </si>
  <si>
    <t>Junior Java Developer | Spring, Hibernate, Maven, Eclipse, JHipster, Tomcat, AngularJS, SOLID</t>
  </si>
  <si>
    <t>Wij zijn altijd op zoek naar mensen die gepassioneerd aan innovatieve added-value oplossingen willen werken, toegespitst op de wensen van onze klanten. _x000D_
_x000D_
Kom bij ons werken en wordt een #DigitalTransformaker!</t>
  </si>
  <si>
    <t>https://www.jouwictvacature.nl/solliciteren?job=junior-java-developer-bij-devoteam-</t>
  </si>
  <si>
    <t>Solution Architect</t>
  </si>
  <si>
    <t>Are you a motivated, self-driven and creative Solution Architect focused on value add outcomes? Please, keep on reading because Devoteam is the right company for you!</t>
  </si>
  <si>
    <t>https://www.jouwictvacature.nl/solliciteren?job=solution-architect-2</t>
  </si>
  <si>
    <t>Dexels</t>
  </si>
  <si>
    <t>Startende Developer in Amsterdam | IOT, Android, iOS, iPhone SDK</t>
  </si>
  <si>
    <t>Als startende Developer met interesse in IOT bij Dexels krijg je ondersteuning van onze Senior sportlink Developers in de dagelijkse taken van het tackelen van RFC's, bugs en het tot een goed einde brengen van complete software projecten.</t>
  </si>
  <si>
    <t>https://www.jouwictvacature.nl/solliciteren?job=startende-developer-in-amsterdam--iot-android-ios-iphone-sdk-bij-dexel</t>
  </si>
  <si>
    <t>Medior Java Developer met interesse in IOT bij Dexels in Amsterdam</t>
  </si>
  <si>
    <t>Ben je op zoek naar een uitdagende functie die je intellectuele capaciteiten stimuleert en je de ruimte geeft verder te ontwikkelen als ontwikkelaar? Zou je graag willen werken in een academische omgeving nabij het water van Amsterdam? Wil je ook graag werken voor een bedrijf dat gepassioneerd werd aan hun eigen op Java gebaseerde producten? Dan wil Dexels graag met je in contact komen!</t>
  </si>
  <si>
    <t>https://www.jouwictvacature.nl/solliciteren?job=medior-java-developer-met-interesse-in-iot-bij-dexels-in-amsterdam</t>
  </si>
  <si>
    <t>Medior Mobile Developer in Amsterdam | IOT, Android, iOS, iPhone SDK</t>
  </si>
  <si>
    <t>Voor ons mobile ontwikkelteam zijn we op zoek naar een medior ontwikkelaar die kennis en kunde heeft van zowel Android, iOS als iPhone SDK. Ben jij diegene?</t>
  </si>
  <si>
    <t>https://www.jouwictvacature.nl/solliciteren?job=medior-mobile-developer-in-amsterdam--iot-android-ios-iphone-sdk-bij-d</t>
  </si>
  <si>
    <t>DPA</t>
  </si>
  <si>
    <t>Medior Java (Full Stack) Developer bij DPA GEOS</t>
  </si>
  <si>
    <t xml:space="preserve">Ben jij geïnteresseerd in de nieuwste technologieën en een gepassioneerde Java developer? </t>
  </si>
  <si>
    <t>https://www.jouwictvacature.nl/solliciteren?job=medior-java-full-stack-developer-bij-dpa-geos</t>
  </si>
  <si>
    <t>Medior Java Backend Developer bij DPA GEOS</t>
  </si>
  <si>
    <t xml:space="preserve">Ben jij een gepassioneerde Java backend developer? </t>
  </si>
  <si>
    <t>https://www.jouwictvacature.nl/solliciteren?job=medior-java-backend-developer-bij-dpa-geos-2</t>
  </si>
  <si>
    <t xml:space="preserve">Senior Java Developer bij DPA GEOS </t>
  </si>
  <si>
    <t>https://www.jouwictvacature.nl/solliciteren?job=senior-java-developer-bij-dpa-geos-bij-dpa-geos-4</t>
  </si>
  <si>
    <t xml:space="preserve">Senior Java Backend Developer bij DPA GEOS </t>
  </si>
  <si>
    <t>https://www.jouwictvacature.nl/solliciteren?job=senior-java-backend-developer-bij-dpa-geos-bij-dpa-geos-3</t>
  </si>
  <si>
    <t>Senior Java (Full Stack) Developer bij DPA GEOS</t>
  </si>
  <si>
    <t>https://www.jouwictvacature.nl/solliciteren?job=senior-java-full-stack-developer-bij-dpa-geos-bij-dpa</t>
  </si>
  <si>
    <t>Senior Mobile Developer bij DPA GEOS</t>
  </si>
  <si>
    <t xml:space="preserve">Ben jij geïnteresseerd in de nieuwste technologieën en een gepassioneerde Mobile developer? </t>
  </si>
  <si>
    <t>https://www.jouwictvacature.nl/solliciteren?job=senior-mobile-developer-bij-dpa-geos-bij-dpa-geos</t>
  </si>
  <si>
    <t>Medior Java Developer bij DPA GEOS</t>
  </si>
  <si>
    <t>https://www.jouwictvacature.nl/solliciteren?job=medior-java-developer-bij-dpa-geos-bij-dpa-geos</t>
  </si>
  <si>
    <t xml:space="preserve">Medior Java Backend Developer bij DPA GEOS </t>
  </si>
  <si>
    <t>https://www.jouwictvacature.nl/solliciteren?job=medior-java-backend-developer-bij-dpa-geos-bij-dpa-geos</t>
  </si>
  <si>
    <t xml:space="preserve">Senior Java (Full Stack) Developer | iOS, PhoneGap, Objective-C, Swift </t>
  </si>
  <si>
    <t>https://www.jouwictvacature.nl/solliciteren?job=senior-java-full-stack-developer--ios-phonegap-objective-c-swift-bij-d-4</t>
  </si>
  <si>
    <t>EasyAds</t>
  </si>
  <si>
    <t>BREUKELEN</t>
  </si>
  <si>
    <t>Senior .NET developer bij EasyAds | Werken met de nieuwste technologie!</t>
  </si>
  <si>
    <t xml:space="preserve">EasyAds is een middelklein bedrijf in hartje Breukelen dat publicatietools voor de e-commerce markt ontwikkelt. Webwinkeliers plaatsen hun producten via onze toonaangevende tools op allerlei verkoopkanalen zoals bol.com, Marktplaats.nl, E-bay etc. Onze tools AdvertentiePlanet.nl, Marktfeed.nl en Bolfeed.nl zijn in Nederland toonaangevend op dit gebied._x000D_
_x000D_
</t>
  </si>
  <si>
    <t>https://www.jouwictvacature.nl/solliciteren?job=senior-net-developer-bij-easyads--werken-met-de-nieuwste-technologie</t>
  </si>
  <si>
    <t>Junior C# .NET / ReactJS developer zonder cloud-vrees</t>
  </si>
  <si>
    <t>https://www.jouwictvacature.nl/solliciteren?job=junior-c-net--reactjs-developer-zonder-cloud-vrees</t>
  </si>
  <si>
    <t>Medior C# .NET / ReactJS developer bij EasyAds | .NET | ReactJS | NodeJS</t>
  </si>
  <si>
    <t>https://www.jouwictvacature.nl/solliciteren?job=medior-c-net--reactjs-developer-bij-easyads--net--reactjs--nodejs</t>
  </si>
  <si>
    <t>Senior C# .NET / ReactJS developer bij EasyAds (Inhouse)</t>
  </si>
  <si>
    <t>https://www.jouwictvacature.nl/solliciteren?job=senior-c-net--reactjs-developer-bij-easyads-inhouse</t>
  </si>
  <si>
    <t>Festa Solutions B.V.</t>
  </si>
  <si>
    <t>Festa Solutions B.V. is per direct op zoek naar een Technical Designer die hun team in Eindhoven komt versterken.</t>
  </si>
  <si>
    <t>https://www.jouwictvacature.nl/solliciteren?job=technical-designer-bij-festa-solutions-bv</t>
  </si>
  <si>
    <t>Finavista</t>
  </si>
  <si>
    <t>Als gevolg van een toename in het aantal opdrachten zijn wij op zoek naar een Medior Ontwikkelaar!</t>
  </si>
  <si>
    <t>https://www.jouwictvacature.nl/solliciteren?job=medior-ontwikkelaar-bij-finavista-2</t>
  </si>
  <si>
    <t>Growing Minds</t>
  </si>
  <si>
    <t>Word jij de nieuwe PHP Developer bij Growing Minds?</t>
  </si>
  <si>
    <t>https://www.jouwictvacature.nl/solliciteren?job=medior-php-developer-met-oog-voor-data-2</t>
  </si>
  <si>
    <t>Word jij de nieuwe Front-end developer bij Growing Minds?</t>
  </si>
  <si>
    <t>https://www.jouwictvacature.nl/solliciteren?job=senior-front-end-developer-bij-growing-minds-bij-growing-minds</t>
  </si>
  <si>
    <t>Het ConsultancyHuis</t>
  </si>
  <si>
    <t>SCHIPHOL-RIJK</t>
  </si>
  <si>
    <t>Medior Agile Test Engineer bij Het ConsultancyHuis</t>
  </si>
  <si>
    <t xml:space="preserve">Als Medior Agile Test Engineer aan de slag bij dé topwerkgever en topdienstverlener van Nederland?_x000D_
</t>
  </si>
  <si>
    <t>https://www.jouwictvacature.nl/solliciteren?job=medior-agile-test-engineer-bij-het-consultancyhuis</t>
  </si>
  <si>
    <t>Hogeschool van Amsterdam</t>
  </si>
  <si>
    <t>Docent Databases bij de Hogeschool van Amsterdam</t>
  </si>
  <si>
    <t>Wil jij jouw kennis overdragen op de nieuwe generatie? De Hogeschool van Amsterdam (HvA) is voor de ICT-opleidingen op zoek naar een Docent Databases!</t>
  </si>
  <si>
    <t>https://www.jouwictvacature.nl/solliciteren?job=docent-databases-bij-de-hogeschool-van-amsterdam-bij-hogeschool-van-am</t>
  </si>
  <si>
    <t>Hulst Computer Systems</t>
  </si>
  <si>
    <t>Per direct zijn wij, Hulst Computer Systems B.V. opzoek naar een senior front-end developer!</t>
  </si>
  <si>
    <t>https://www.jouwictvacature.nl/solliciteren?job=senior-front-end-developer-bij-hulst-computer-systems-bij-hulst-comput</t>
  </si>
  <si>
    <t>HVMP Marketing ( Ernesto )</t>
  </si>
  <si>
    <t xml:space="preserve">Eventregistratie PHP Developer bij HVMP </t>
  </si>
  <si>
    <t xml:space="preserve">We zijn hard aan het groeien en daarom zijn we per direct op zoek naar een enthousiaste eventregistratie php’er die zich wil inzetten voor onze jonge organisatie en samen met ons werk neer kan zetten om trots op te zijn! </t>
  </si>
  <si>
    <t>https://www.jouwictvacature.nl/solliciteren?job=eventregistratie-php-developer-bij-hvmp-</t>
  </si>
  <si>
    <t>PHP-PROGRAMMEUR</t>
  </si>
  <si>
    <t>De inrichting van jouw hardware en software heeft meer inhoud dan de cockpit van de Millennium Falcon en de Death Star bij elkaar, als je niet vertoeft in hyperspace dan ben je bezig met de laatste pagina’s van het internet uit te lezen. Als dat gebeurd is baal je omdat het een open einde blijkt te zijn, maar gedreven als je bent begin je zelf aan een vervolg._x000D_
_x000D_
Je denkt niet in oplossingen, je bent de oplossing. Door jouw skills om te creëren ben je in feite een soort van halfgod. Een halfgod inderdaad, want je werkt 5 dagen en hebt 2 rustdagen...</t>
  </si>
  <si>
    <t>https://www.jouwictvacature.nl/solliciteren?job=php-programmeur-17</t>
  </si>
  <si>
    <t>HybrIT</t>
  </si>
  <si>
    <t>Senior Mulesoft Specialist bij HybrIT</t>
  </si>
  <si>
    <t>Lijkt het jou tof om als Mulesoft Specialist bij een bedrijf te komen werken dat snel naam maakt bij grote merken met vernieuwende toepassingen van de Mulesoft technologie? Kom dan bij HybrIT werken!</t>
  </si>
  <si>
    <t>https://www.jouwictvacature.nl/solliciteren?job=senior-mulesoft-specialist-bij-hybrit-bij-hybrit</t>
  </si>
  <si>
    <t>Medior Java Developer bij HybrIT!</t>
  </si>
  <si>
    <t xml:space="preserve">Wil jij jezelf als Java-developer ontwikkelen tot een ware alleskunner? Wil je graag je eigen, goed onderbouwde visie op software development uitbouwen? Lijkt het je leuk om je aan te sluiten bij een jonge club waar je de ruimte én begeleiding krijgt? En kijk je er naar uit om voor business managers te werken die alles snappen van de inhoud en besluiten nemen vanuit jouw vakgebied? HybrIT is precies de werkgever die je zoekt. </t>
  </si>
  <si>
    <t>https://www.jouwictvacature.nl/solliciteren?job=medior-java-developer-bij-hybrit</t>
  </si>
  <si>
    <t>i3D.net</t>
  </si>
  <si>
    <t>Renier</t>
  </si>
  <si>
    <t>Senior Back End Developer</t>
  </si>
  <si>
    <t>Kom werken bij de grootste gamehosting provider van de wereld. Ter uitbreiding van ons team zijn wij op zoek naar Back End developers om de verantwoording te nemen voor de technische ontwikkeling van ons control panel en website. Nieuwe functionaliteiten ontwerpen, uitbouwen en perfectioneren. Onze backend is gebaseerd op PHP in het eigen framework en wordt als API gebruikt naar alle interfaces. De software wordt gebruikt door grote game uitgevers zoals EA games voor bijvoorbeeld Battlefield en FIFA.</t>
  </si>
  <si>
    <t>https://www.jouwictvacature.nl/solliciteren?job=senior-back-end-developer-4</t>
  </si>
  <si>
    <t xml:space="preserve">Senior PHP Back End Developer </t>
  </si>
  <si>
    <t>https://www.jouwictvacature.nl/solliciteren?job=senior-php-back-end-developer-bij-i3dnet</t>
  </si>
  <si>
    <t>ICATT</t>
  </si>
  <si>
    <t>Zeer ervaren .NET ontwikkelaar bij ICATT (inhouse) in hartje Amsterdam</t>
  </si>
  <si>
    <t>ICATT zoekt een (zeer) ervaren .NET ontwikkelaar om online applicaties te bouwen. Je bent onderdeel van een Scrum team en werkt nauw samen met product owners, webeditors, mede-ontwikkelaars en vormgevers. Diverse technieken en systemen maak je je gemakkelijk eigen. Je houdt je op de hoogte van de ontwikkelingen op jouw vakgebied en deelt die kennis graag met je collega's. Wij verwachten dat je een duidelijke visie hebt op het gebied van web development en dat je enthousiast meedenkt in het verder ontwikkelen van bestaande systemen.</t>
  </si>
  <si>
    <t>https://www.jouwictvacature.nl/solliciteren?job=zeer-ervaren-net-ontwikkelaar-bij-icatt-inhouse-in-hartje-amsterdam</t>
  </si>
  <si>
    <t>Senior .NET Developer bij ICATT in hartje Amsterdam (32, 36 of 40 uur)</t>
  </si>
  <si>
    <t>https://www.jouwictvacature.nl/solliciteren?job=senior-net-developer-bij-icatt-in-hartje-amsterdam-32-36-of-40-uur</t>
  </si>
  <si>
    <t>Infent</t>
  </si>
  <si>
    <t>.NET Developer bij Infent</t>
  </si>
  <si>
    <t>Als enthousiaste .NET-developer werk je mee aan de uitbreiding van ons Infenture Innovation Platform. Het werk is zeer divers, waarbij je zelfstandig of in teamverband werkt, op interne projecten. Infent is een innovatief bedrijf waarbij gewerkt wordt met de nieuwste technologieën. Je vindt het leuk om je hierin te verdiepen en hiermee aan de slag te gaan. Daarnaast vind je het leuk om in het Infent .NET-team mee te denken over verbeteringen.</t>
  </si>
  <si>
    <t>https://www.jouwictvacature.nl/solliciteren?job=net-developer-bij-infent</t>
  </si>
  <si>
    <t>Medior/Senior .NET Developer bij infent</t>
  </si>
  <si>
    <t>Als enthousiaste .NET-developer werk je mee aan de uitbreiding van ons Infenture Innovation Platform. Het werk is zeer divers, waarbij je zelfstandig of in teamverband werkt, op zowel interne als externe projecten. Infent is een innovatief bedrijf waarbij gewerkt wordt met de nieuwste technologieën. Je vindt het leuk om je hierin te verdiepen en hiermee aan de slag te gaan. Daarnaast vind je het leuk om in het Infent .NET-team mee te denken over verbeteringen.</t>
  </si>
  <si>
    <t>https://www.jouwictvacature.nl/solliciteren?job=mediorsenior-net-developer-bij-infent</t>
  </si>
  <si>
    <t>Medior .NET Developer met communicatieve skills</t>
  </si>
  <si>
    <t>https://www.jouwictvacature.nl/solliciteren?job=medior-net-developer-met-communicatieve-skills</t>
  </si>
  <si>
    <t>Medior .NET developer met ambitie om snel te groeien tot Lead Developer</t>
  </si>
  <si>
    <t>https://www.jouwictvacature.nl/solliciteren?job=medior-net-developer-met-ambitie-om-snel-te-groeien-tot-lead-developer</t>
  </si>
  <si>
    <t>Infogroen</t>
  </si>
  <si>
    <t>HAZERSWOUDE</t>
  </si>
  <si>
    <t>Senior Java Software Developer | Servoy, Java, SQL, SAAS, Javascript</t>
  </si>
  <si>
    <t>Wij zijn op zoek naar een gedreven, no nonsens ontwikkelaar met ervaring die wilt bouwen aan een groot (ERP)systeem (Vision).</t>
  </si>
  <si>
    <t>https://www.jouwictvacature.nl/solliciteren?job=senior-java-software-developer--servoy-java-sql-saas</t>
  </si>
  <si>
    <t>Instituut Fysieke Veiligheid</t>
  </si>
  <si>
    <t>ZOETERMEER</t>
  </si>
  <si>
    <t>Senior Java Ontwikkelaar | Java EE, GIS, JPA, Eclipse, MySQL, Glassfish</t>
  </si>
  <si>
    <t xml:space="preserve">Wij zijn op zoek naar een Java ontwikkelaar (32-40 uur per week) voor het moderniseren en verder ontwikkelen van het Landelijk Crisis Management Systeem (LCMS). </t>
  </si>
  <si>
    <t>https://www.jouwictvacature.nl/solliciteren?job=senior-java-ontwikkelaar--java-ee-gis-jpa-eclipse-mysql-glassfish</t>
  </si>
  <si>
    <t>Isatis Group</t>
  </si>
  <si>
    <t>NIJMEGEN</t>
  </si>
  <si>
    <t>Gedreven Medior PHP / Laravel  Developer bij Isatis</t>
  </si>
  <si>
    <t>Binnen team Leef zet je als PHP developer samen met je directe collega's je kennis en creativiteit in voor het bouwen van innovatieve webbased software voor de farmacie.</t>
  </si>
  <si>
    <t>https://www.jouwictvacature.nl/solliciteren?job=php--laravel-developer-bij-topwerkgever-</t>
  </si>
  <si>
    <t>IT partner</t>
  </si>
  <si>
    <t xml:space="preserve">HENDRIK-IDO-AMBACHT </t>
  </si>
  <si>
    <t xml:space="preserve">WIJZIG_x000D_
_x000D_
IT Partner BV is al ruim 17 jaar een zeer dynamisch IT bedrijf, met Rotterdamse mentaliteit, gevestigd te Hendrik-Ido-Ambacht. Wij ontwikkelen, verkopen en implementeren ons eigen ERP Software pakket en leveren daarnaast verscheidene consultancy diensten._x000D_
Wij opereren zowel lokaal in Nederland als internationaal (Caribisch gebied, Verenigde Staten, Dubai, Suriname, Spanje, Zweden etc ) met zeer innovatieve software voor haven autoriteiten, container terminals, multi-cargo terminals, vracht agenten, expediteurs en andere logistieke bedrijven._x000D_
Onze software oplossingen bieden uitstekende mogelijkheden om klant specifieke aanpassingen te realiseren. Met deze flexibiliteit zijn wij onderscheidend._x000D_
</t>
  </si>
  <si>
    <t>https://www.jouwictvacature.nl/solliciteren?job=medior-net-c-developer</t>
  </si>
  <si>
    <t>Jaagers / RIFF</t>
  </si>
  <si>
    <t xml:space="preserve">Word jij onze nieuwe senior Front-end development hero?  </t>
  </si>
  <si>
    <t xml:space="preserve">Was jij als kind al gefascineerd door computers en technologie? Is programmeren voor jou zowel jouw hobby als jouw werk? En wil jij als Front-end Developer uitgedaagd worden door grote doorlopende projecten en visueel complexe ‘custom-made’ designs toegespitst op de doelgroep van jouw klanten? Dan is RIFF de plek voor jou! </t>
  </si>
  <si>
    <t>https://www.jouwictvacature.nl/solliciteren?job=word-jij-onze-nieuwe-medior-front-end-development-hero-bij-jaagers--ri</t>
  </si>
  <si>
    <t xml:space="preserve">Word jij onze nieuwe Front-end development hero? </t>
  </si>
  <si>
    <t>https://www.jouwictvacature.nl/solliciteren?job=word-jij-onze-nieuwe-front-end-development-hero-</t>
  </si>
  <si>
    <t>Koek&amp;peer</t>
  </si>
  <si>
    <t>SWALMEN</t>
  </si>
  <si>
    <t xml:space="preserve">Senior PHP developer </t>
  </si>
  <si>
    <t>Wij bieden een te gekke baan voor een enthousiaste, Senior php-programmeur met een voorliefde voor e-commerce die ons gaat helpen met het ontwikkelen van diverse online projecten.</t>
  </si>
  <si>
    <t>https://www.jouwictvacature.nl/solliciteren?job=senior-php-developer--fulltime-bij-koekenpeer</t>
  </si>
  <si>
    <t xml:space="preserve">Junior PHP developer / fulltime </t>
  </si>
  <si>
    <t>Wij bieden een te gekke baan voor een enthousiaste, Junior php-programmeur met een voorliefde voor e-commerce die ons gaat helpen met het ontwikkelen van diverse online projecten.</t>
  </si>
  <si>
    <t>https://www.jouwictvacature.nl/solliciteren?job=junior-php-developer--fulltime-bij-koekenpeer</t>
  </si>
  <si>
    <t xml:space="preserve">Medior PHP developer </t>
  </si>
  <si>
    <t>Wij bieden een te gekke baan voor een enthousiaste, Medior php-programmeur met een voorliefde voor e-commerce die ons gaat helpen met het ontwikkelen van diverse online projecten.</t>
  </si>
  <si>
    <t>https://www.jouwictvacature.nl/solliciteren?job=medior-php-developer--fulltime-bij-koekenpeer</t>
  </si>
  <si>
    <t>KSYOS</t>
  </si>
  <si>
    <t>AMSTELVEEN</t>
  </si>
  <si>
    <t>Heb jij passie voor IT in combinatie met zorg? Dan is dit dé uitdaging voor jou!</t>
  </si>
  <si>
    <t>https://www.jouwictvacature.nl/solliciteren?job=medior-nodejs-software-engineer</t>
  </si>
  <si>
    <t>Marketgraph BV</t>
  </si>
  <si>
    <t>AMERSFOORT</t>
  </si>
  <si>
    <t>C# .NET Ontwikkelaar | Werken voor (o.a.) The voice of Holland, De Slimste Mens</t>
  </si>
  <si>
    <t xml:space="preserve">Je werkt mee aan de verdere ontwikkeling van onze realtime 3D graphics engine en bijbehorende user interface en aansturing. Daarnaast werk je mee aan projecten voor klanten waarbij televisie en entertainment shows worden gebouwd en aangestuurd. Je werk zal dus door een miljoenenpubliek worden bekeken!_x000D_
_x000D_
</t>
  </si>
  <si>
    <t>https://www.jouwictvacature.nl/solliciteren?job=c-net-ontwikkelaar--werken-voor-oa-the-voice-of-holland-de-slimste-men</t>
  </si>
  <si>
    <t>Marketing Makers</t>
  </si>
  <si>
    <t>Senior .NET Developer | Werken voor klanten als KPN, NS, Sanoma Media en Engie.</t>
  </si>
  <si>
    <t>Wordt jij enthousiast van Werken aan uitdagende projecten, voor de grootste abonnementsbedrijven van Nederland?_x000D_
 In het hart van Utrecht: de Drieharingstraat. _x000D_
Programmeren met Microsoft .Net, MVC &amp; SQL Server. Samenwerken met en leren van een team van 20 collega’s?_x000D_
_x000D_
Dan hebben wij een mooie plek voor je waarin jij jezelf verder kunt ontwikkelen als .Net developer!</t>
  </si>
  <si>
    <t>https://www.jouwictvacature.nl/solliciteren?job=medior-net-developer--werken-voor-klanten-als-kpn-ns-sanoma-media-en-e</t>
  </si>
  <si>
    <t>MaximumNL</t>
  </si>
  <si>
    <t xml:space="preserve">Medior Front-end Developer </t>
  </si>
  <si>
    <t>Ben jij een JavaScript-developer met front-end skills? Bij Maximum ontwikkel je in een leuk team nieuwe campagnes, websites en apps en verbeter je continu de user experience ervan. Dit doe je voor grote klanten zoals het Ministerie van Defensie, VodafoneZiggo en de Belastingdienst. Nieuwsgierig? Kom kennismaken!</t>
  </si>
  <si>
    <t>https://www.jouwictvacature.nl/solliciteren?job=medior-front-end-developer-bij-maximumnl</t>
  </si>
  <si>
    <t>Senior Javascript Developer</t>
  </si>
  <si>
    <t>https://www.jouwictvacature.nl/solliciteren?job=seniorjavascript-developer-bij-maximumnl</t>
  </si>
  <si>
    <t>Meddex</t>
  </si>
  <si>
    <t>Junior Implementatiespecialist bij Meddex</t>
  </si>
  <si>
    <t xml:space="preserve">Implementeer jij onze projecten bij verschillende opdrachtgevers? </t>
  </si>
  <si>
    <t>https://www.jouwictvacature.nl/solliciteren?job=junior-implementatiespecialist-bij-meddex</t>
  </si>
  <si>
    <t>Medior Implementatiespecialist bij Meddex</t>
  </si>
  <si>
    <t>https://www.jouwictvacature.nl/solliciteren?job=medior-implementatiespecialist-bij-meddex-bij-meddex</t>
  </si>
  <si>
    <t>Member Get Member</t>
  </si>
  <si>
    <t>Great tech job with a lot of ownership!</t>
  </si>
  <si>
    <t>https://www.jouwictvacature.nl/solliciteren?job=medior-full-stack-developer-bij-member-get-member-bij-member-get-membe</t>
  </si>
  <si>
    <t>Mplus</t>
  </si>
  <si>
    <t>ALPHEN AAN DEN RIJN</t>
  </si>
  <si>
    <t>Full Stack .NET Developer</t>
  </si>
  <si>
    <t>Wij hebben een uitgesproken doe-mentaliteit! Doe je met ons mee?! Als Full stack .NET Developer binnen Mplus bouw, bedenk en ontwikkel je webshops, applicaties en platvormen voor onze klanten. heb jij een passie voor het ontwikkelen in de nieuwste technieken en vind jij het leuk om aan diverse projecten te werken, dan hebben wij jouw hulp nodig!</t>
  </si>
  <si>
    <t>https://www.jouwictvacature.nl/solliciteren?job=full-stack-net-developer</t>
  </si>
  <si>
    <t>Medior .NET ontwikkelaar</t>
  </si>
  <si>
    <t>https://www.jouwictvacature.nl/solliciteren?job=medior-net-ontwikkelaar-5</t>
  </si>
  <si>
    <t>Junior Fullstack Developer (focus op Front-end)</t>
  </si>
  <si>
    <t xml:space="preserve">Wij hebben een uitgesproken doe-mentaliteit! Doe je met ons mee?! Als front-end developer binnen Mplus bouw je mee aan de technische voorkant van de webshops, applicaties en platvormen die wij voor onze klanten bedenken en ontwikkelen. Jij zorgt voor de verbinding tussen het design en de programmatuur die nodig is om het te laten functioneren. Wij hebben jouw hulp nodig om de Mplus klanten te verrassen met wat wij elke dag voor ze kunnen doen. </t>
  </si>
  <si>
    <t>https://www.jouwictvacature.nl/solliciteren?job=junior-fullstack-developer-focus-op-front-end-bij-mplus</t>
  </si>
  <si>
    <t>Muntz</t>
  </si>
  <si>
    <t>Medior PHP Developer bij Muntz</t>
  </si>
  <si>
    <t>Zie jij uitdaging in het vertalen van klantwensen naar passende mogelijkheden? De mogelijkheid krijgen om je te ontwikkelen in de richting die jij wilt? Dan zit je bij Muntz goed! Kom ons team versterken en ontdek waar jouw kansen liggen.</t>
  </si>
  <si>
    <t>https://www.jouwictvacature.nl/solliciteren?job=php-developer-bij-muntz</t>
  </si>
  <si>
    <t>MWM2</t>
  </si>
  <si>
    <t>Senior C# .NET Developer bij MWM2</t>
  </si>
  <si>
    <t xml:space="preserve">Als Webdeveloper C# in ons Development Team ben je als allround full stack developer verantwoordelijk voor het ontwikkelen van zowel front-end, back-end &amp; database werkzaamheden van onze superieure researchtechnologie met een hoge data driven performance._x000D_
</t>
  </si>
  <si>
    <t>https://www.jouwictvacature.nl/solliciteren?job=senior-c-net-developer-bij-mwm2</t>
  </si>
  <si>
    <t>Junior C# .NET Developer bij MWM2</t>
  </si>
  <si>
    <t>https://www.jouwictvacature.nl/solliciteren?job=junior-c-net-developer-bij-mwm2</t>
  </si>
  <si>
    <t>Ervaren C# .NET Developer bij MWM2</t>
  </si>
  <si>
    <t>https://www.jouwictvacature.nl/solliciteren?job=ervaren-c-net-developer-bij-mwm2</t>
  </si>
  <si>
    <t>Netvlies</t>
  </si>
  <si>
    <t>Lead Symfony Developer</t>
  </si>
  <si>
    <t>Bij Netvlies krijg je volop ruimte voor nieuwe initiatieven en ideeën die we op de markt kunnen verkopen en je krijgt alle ruimte om je rol naar eigen inzicht in te vullen. Je ontwikkelt oplossingen binnen onze Business Solutions afdeling waar we werken aan webapplicaties, webportals en innovatieve en schaalbare cloud oplossingen.</t>
  </si>
  <si>
    <t>https://www.jouwictvacature.nl/solliciteren?job=lead-symfony-developer</t>
  </si>
  <si>
    <t>NoBears</t>
  </si>
  <si>
    <t>HEUSDEN</t>
  </si>
  <si>
    <t xml:space="preserve">Medior Webdeveloper </t>
  </si>
  <si>
    <t>... die geen uitdaging uit de weg gaat en zich wil inzetten om NoBears naar een nog hoger niveau te brengen.</t>
  </si>
  <si>
    <t>https://www.jouwictvacature.nl/solliciteren?job=medior-webdeveloper-bij-nobears</t>
  </si>
  <si>
    <t>Junior Javascript Developer</t>
  </si>
  <si>
    <t>https://www.jouwictvacature.nl/solliciteren?job=junior-javascript-developer-bij-nobears</t>
  </si>
  <si>
    <t>Not on Paper</t>
  </si>
  <si>
    <t>WAALRE</t>
  </si>
  <si>
    <t>Je bent een ervaren, extreem goede programmeur die weet wat het is om in een team met specialisten te werken. Je hebt een sterke eigen mening over techniek, maar kan ook meedenken in het grotere geheel. Je ziet mogelijkheden om onze bestaande modules te verbeten en neemt de leiding in het ontwikkelen van nieuwe modules. Je bent continu in ontwikkeling en neemt ons daar graag in mee. Je ziet groei mogelijkheden in de markt en voor Not on Paper en staat open voor verandering.  Een open sfeer, gelijkwaardigheid en humor op het werk vind je net zo belangrijk als wij dat vinden.</t>
  </si>
  <si>
    <t>https://www.jouwictvacature.nl/solliciteren?job=medior-laravel-programmeur-bij-not-on-paper-</t>
  </si>
  <si>
    <t>NXT Consult</t>
  </si>
  <si>
    <t>HENDRIK-IDO-AMBACHT</t>
  </si>
  <si>
    <t xml:space="preserve">.NET developer (Midlance!) </t>
  </si>
  <si>
    <t>NxtConsult_x000D_
NxtConsult heeft als dienstverlening het ondersteunen van bedrijven bij het ontwikkelen van software op basis van Microsoft technologie.</t>
  </si>
  <si>
    <t>https://www.jouwictvacature.nl/solliciteren?job=net-developer-midlance-</t>
  </si>
  <si>
    <t>OO Shopping</t>
  </si>
  <si>
    <t xml:space="preserve">Senior Fullstack Developer </t>
  </si>
  <si>
    <t xml:space="preserve">Naast developer, ben je een enthousiaste teamplayer die denkt in robuuste oplossingen. Je gaat voor kwaliteit, uitbreiding van je stack zie je als een kans om nog beter te worden. Over de filosofie en organisatie achter de laatste innovaties en technologieën raak je niet uitgesproken. </t>
  </si>
  <si>
    <t>https://www.jouwictvacature.nl/solliciteren?job=senior-fullstack-developer-bij-oo-shopping</t>
  </si>
  <si>
    <t>OPEN.satisfaction</t>
  </si>
  <si>
    <t>Startende Developer bij OPEN.satisfaction te Amersfoort</t>
  </si>
  <si>
    <t>Werken bij een sterk groeiend en dynamisch bedrijf waarbij je met enthousiaste en professionele mensen aan ECM-oplossingen werken? Kom werken bij OPEN.satisfaction!</t>
  </si>
  <si>
    <t>https://www.jouwictvacature.nl/solliciteren?job=startende-developer-bij-opensatisfaction-te-amersfoort-bij-opensatisfa</t>
  </si>
  <si>
    <t>ORTEC Optimization Technology B.V.</t>
  </si>
  <si>
    <t xml:space="preserve">Junior Software Engineer </t>
  </si>
  <si>
    <t>As a Junior Software Engineer of our Workforce Scheduling product at ORTEC you get the chance to really develop within all the steps of software development: analyzing, designing, programming, reviewing and testing.</t>
  </si>
  <si>
    <t>https://www.jouwictvacature.nl/solliciteren?job=junior-software-engineer--2</t>
  </si>
  <si>
    <t>Packs</t>
  </si>
  <si>
    <t>ALKMAAR</t>
  </si>
  <si>
    <t>Medior .NET Developer bij Packs | o.a. Inhouse + studiebudget!</t>
  </si>
  <si>
    <t>Packs is op zoek naar een .NET developer. Als developer bij Packs werk je  aan de verdere ontwikkeling van de eigen software van Packs. Je krijgt een diverse functie waar veel ruimte is voor eigen inbreng.  In deze functie ben je veel bezig met het maken van nieuwe applicaties, het is veel meer dan alleen maintainen en debuggen!</t>
  </si>
  <si>
    <t>https://www.jouwictvacature.nl/solliciteren?job=medior-net-developer-bij-packs--oa-inhouse--studiebudget</t>
  </si>
  <si>
    <t>Paralax</t>
  </si>
  <si>
    <t>MAARSEN</t>
  </si>
  <si>
    <t>Principal C#, ASP.NET MVC bij Paralax</t>
  </si>
  <si>
    <t xml:space="preserve">In de functie als technical lead ben je bezig met het ontwikkelen van nieuwe functionaliteiten. Hiernaast verbeter en onderhoud je de bestaande software. Naast al het ontwikkelwerk is het belangrijk dat je meedenkt aan nieuwe wensen van klanten (intern/extern) of nieuwe mogelijke ontwikkelingen. Ook staan we altijd open voor eigen inbreng. Je werkt samen met teamleden en multidisciplinaire teams binnen de ontwikkelstraat op projectmatige wijze._x000D_
_x000D_
</t>
  </si>
  <si>
    <t>https://www.jouwictvacature.nl/solliciteren?job=principal-c-aspnet-mvc-bij-paralax</t>
  </si>
  <si>
    <t>PixelFarm</t>
  </si>
  <si>
    <t>BARENDRECHT</t>
  </si>
  <si>
    <t>Senior backend developer</t>
  </si>
  <si>
    <t>Pixelfarm zoekt een full-time backend developer met een passie voor frameworks en CMS'en. Als backend developer ga je samen met je collega’s van front-end development en marketing aan de slag om de beste websites en web-applicaties te ontwikkeling. Je bent verantwoordelijk voor de technische ontwikkeling en het onderhoud van bestaande en nieuwe CMS'en, platformen en applicaties.</t>
  </si>
  <si>
    <t>https://www.jouwictvacature.nl/solliciteren?job=senior-backend-developer-2</t>
  </si>
  <si>
    <t>Plugwise</t>
  </si>
  <si>
    <t>SASSENHEIM</t>
  </si>
  <si>
    <t>Ben jij een veelzijdige PHP ontwikkelaar en wil je een verantwoordelijke rol op je nemen binnen een betrokken en ambitieus bedrijf? Bij Plugwise krijg je de mogelijkheid om in een sterk back-endteam te werken aan uitdagende en uiteenlopende projecten. Kom jij ons team versterken?</t>
  </si>
  <si>
    <t>https://www.jouwictvacature.nl/solliciteren?job=medior-php-developer-bij-plugwise</t>
  </si>
  <si>
    <t>Prodware</t>
  </si>
  <si>
    <t>RIJSWIJK (RIJSWIJK)</t>
  </si>
  <si>
    <t>Prodware creëert, integreert en beheert IT-oplossingen door hoogontwikkelde technische expertise te combineren met diepgaande branchekennis. Daartoe maken we gebruik van Microsoft-software en- technologie. Alles in de cloud of on-premise, afgestemd op de behoeften van de klant. Wij zijn daardoor in staat onze klanten een echte totaaloplossing te bieden. Prodware heeft 42 vestigingen in 15 landen en is daardoor zowel in de Benelux als daarbuiten altijd dicht bij de klant. Met 20.000 actieve klanten en 1.550 medewerkers behoort Prodware tot de grootste IT-partners voor (middel)grote organisaties in Europa en is Europa's grootste Microsoft Dynamics-partner. Dankzij solide strategische allianties kan Prodware ondernemingen begeleiden bij hun internationale activiteiten. Prodware, opgericht in 1989, is genoteerd aan de NYSE Euronext Parijs en maakt onderdeel uit van de Gaia Index.</t>
  </si>
  <si>
    <t>https://www.jouwictvacature.nl/solliciteren?job=net-senior-developer</t>
  </si>
  <si>
    <t>Ervaren functionele Sharepoint consultant</t>
  </si>
  <si>
    <t>Prodware is een stabiele organisatie met 100 collega’s binnen Nederland en veel ervaring in de technische ICT. Een dynamische en jonge omgeving waar ondernemerschap en ontwikkeling, maar ook teamwork belangrijk zijn. Dit wordt gestimuleerd door bijvoorbeeld een open communicatie via intranet (blogs), maar ook met Development programma’s om je ontwikkeling te stimuleren en ondersteunen. Bovendien Prodware biedt een plezierige en informele werkomgeving, waarbinnen veel aandacht is voor persoonlijke ontwikkeling.</t>
  </si>
  <si>
    <t>https://www.jouwictvacature.nl/solliciteren?job=functionele-sharepoint-consultant-2</t>
  </si>
  <si>
    <t>ZALTBOMMEL</t>
  </si>
  <si>
    <t xml:space="preserve">Je bent verantwoordelijk voor het adviseren over en ondersteunen bij de implementatietrajecten van onze klanten. Het gaat hierbij om de vertaling van financiële processen naar een adequaat werkende oplossing met Microsoft Dynamics AX. </t>
  </si>
  <si>
    <t>https://www.jouwictvacature.nl/solliciteren?job=ax-consultant</t>
  </si>
  <si>
    <t xml:space="preserve">Prodware is per direct op zoek naar een Dynamics NAV Developer_x000D_
</t>
  </si>
  <si>
    <t>https://www.jouwictvacature.nl/solliciteren?job=medior-microsoft-dynamics-ax-developer-bij-prodware-2</t>
  </si>
  <si>
    <t>Prodware is per direct op zoek naar een Senior Microsoft Dynamics AX Developer.</t>
  </si>
  <si>
    <t>https://www.jouwictvacature.nl/solliciteren?job=senior-microsoft-dynamics-ax-developer-bij-prodware</t>
  </si>
  <si>
    <t>Qban</t>
  </si>
  <si>
    <t>Junior Animation Developer</t>
  </si>
  <si>
    <t>Ons creatieve team werkt dagelijks aan de vetste digitale campagnes voor grote Nederlandse adverteerders, reclame- en mediabureaus. Zo bedenken en ontwikkelen we met HTML en JavaScript de meest spectaculaire display banners en Rich media uitingen. Per direct zijn wij op zoek naar een Rich media developer op senior niveau ter versterking van ons team.</t>
  </si>
  <si>
    <t>https://www.jouwictvacature.nl/solliciteren?job=junior-animation-developer-bij-qban</t>
  </si>
  <si>
    <t>Qualogy</t>
  </si>
  <si>
    <t>Junior Fullstack Developer</t>
  </si>
  <si>
    <t>Qualogy zoekt een leergierige Javascript front-end engineer. Onze ideale kandidaat heeft passie voor het vak en weet dit over te brengen op de klant. Voel jij je aangesproken?</t>
  </si>
  <si>
    <t>https://www.jouwictvacature.nl/solliciteren?job=junior-fullstack-developer-bij-qualogy</t>
  </si>
  <si>
    <t>Quyntess</t>
  </si>
  <si>
    <t>GORINCHEM</t>
  </si>
  <si>
    <t xml:space="preserve">Junior Full stack Software Engineer | Java, AngularJS, Postgres, Eclipse, Inhouse </t>
  </si>
  <si>
    <t>Wil jij graag werken in een team dat het opleveren van moderne apps aan zijn klanten vooropstelt? Hou je van korte lijnen, resultaatgericht werken aan projecten met een doorlooptijd van enkele maanden waarbij je zelf de software engineering in de hand hebt? Ben jij een junior of medior software engineer met een opleiding op HBO/Universitair niveau en beschik je over een fikse dosis zelfstandigheid en probleemoplossend vermogen? Als je die vragen positief beantwoordt hebben wij voor jou een baan waar je met jouw kennis en knowhow van softwareontwikkeling aan de slag kunt.</t>
  </si>
  <si>
    <t>https://www.jouwictvacature.nl/solliciteren?job=medior-full-stack-software-engineer--java-angularjs-postgres-eclipse-i</t>
  </si>
  <si>
    <t>Rapide Internet</t>
  </si>
  <si>
    <t xml:space="preserve">GRONINGEN </t>
  </si>
  <si>
    <t>Gedreven junior Back-end Developer (PHP)</t>
  </si>
  <si>
    <t>Als back-end developer bij Rapide werk je aan interessante en uitdagende projecten voor een grote diversiteit aan klanten. Dit doe je in een inspirerende werkomgeving, samen met enthousiaste en ambitieuze collega's.</t>
  </si>
  <si>
    <t>https://www.jouwictvacature.nl/solliciteren?job=medior-back-end-developer-regio-groningen-2</t>
  </si>
  <si>
    <t>Rensa</t>
  </si>
  <si>
    <t>DOETINCHEM</t>
  </si>
  <si>
    <t>Senior C# Developer</t>
  </si>
  <si>
    <t>Ben jij een doorgewinterde .NET-specialist en wil je je expertise graag toepassen bij het vormgeven van complexe integratieprocessen? De kans krijgen om te werken met de nieuwste en meest geavanceerde tools en technieken? Kom ons team versterken en draag bij aan uitdagende en veelzijdige projecten!</t>
  </si>
  <si>
    <t>https://www.jouwictvacature.nl/solliciteren?job=senior-c-developer</t>
  </si>
  <si>
    <t>Simaxx</t>
  </si>
  <si>
    <t>Medior FullStack Software Ontwikkelaar bij Simaxx</t>
  </si>
  <si>
    <t>Gaat jouw ontwikkelde software, gebouwen laten vertellen hoe het met ze gaat? Hoe gebouwen zich voelen?</t>
  </si>
  <si>
    <t>https://www.jouwictvacature.nl/solliciteren?job=medior-fullstack-software-ontwikkelaar-bij-simaxx-bij-simaxx</t>
  </si>
  <si>
    <t>SKEPP B.V.</t>
  </si>
  <si>
    <t>ALBERGEN</t>
  </si>
  <si>
    <t>SKEPP heeft een droom: SKEPP wil de eerste zero asset company van de kantorenmarkt worden! In het afgelopen jaar zijn we gegroeid van 4 naar bijna 20 werknemers. SKEPP is een dynamisch bedrijf dat de komende jaren ook flink zal doorgroeien. Om onze droom verder te verwezenlijken willen we ons eigen ecosysteem opbouwen met zelfontwikkelde systemen. Als Back-end developer bij SKEPP werk je in een jong en multidisciplinair team aan het realiseren van dit ecosysteem. Jij wordt de ambassadeur van het nieuw op te leveren ecosysteem, bent vanaf de eerste dag betrokken bij de ontwikkeling en krijgt veel verantwoordelijkheid en vrijheid gedurende dit proces.</t>
  </si>
  <si>
    <t>https://www.jouwictvacature.nl/solliciteren?job=senior-back-end-developer-2</t>
  </si>
  <si>
    <t>Sofico</t>
  </si>
  <si>
    <t>HOUTEN</t>
  </si>
  <si>
    <t>Senior Java/Web Developer bij Sofico</t>
  </si>
  <si>
    <t>Vind je het leuk om als Java/Web developer voor de automotive-sector te werken? Kom dan werken bij Sofico!</t>
  </si>
  <si>
    <t>https://www.jouwictvacature.nl/solliciteren?job=senior-javaweb-developer-bij-sofico-bij-sofico</t>
  </si>
  <si>
    <t>Sogeti</t>
  </si>
  <si>
    <t>VIANEN</t>
  </si>
  <si>
    <t>Senior Microsoft SharePoint Specialist bij Sogeti in Vianen</t>
  </si>
  <si>
    <t>Als Microsoft SharePoint Specialist zet jij jouw kennis van Microsoft SharePoint proactief in door te werken aan verschillende uitdagende projecten bij onze klanten. In de projecten werk je in een wisselend team samen met enthousiaste specialisten. Ondersteund door een ‘proven' projectaanpak en Sogeti's eigen kwaliteitssysteem worden projecten opgepakt en uitgevoerd.</t>
  </si>
  <si>
    <t>https://www.jouwictvacature.nl/solliciteren?job=medior-microsoft-sharepoint-specialist-bij-sogeti-4</t>
  </si>
  <si>
    <t>AMSTERDAM ZUID OOST</t>
  </si>
  <si>
    <t>Medior Microsoft Sharepoint Specialist bij Sogeti in Amsterdam</t>
  </si>
  <si>
    <t>https://www.jouwictvacature.nl/solliciteren?job=microsoft-sharepoint-specialist-bij-sogeti</t>
  </si>
  <si>
    <t>Medior Microsoft SharePoint Specialist bij Sogeti in Amersfoort</t>
  </si>
  <si>
    <t>https://www.jouwictvacature.nl/solliciteren?job=microsoft-sharepoint-specialist-bij-sogeti-3</t>
  </si>
  <si>
    <t>Medior .Net Engineer bij Sogeti in Capelle aan den IJssel</t>
  </si>
  <si>
    <t xml:space="preserve">In de functie van .NET Engineer werk je zowel in de detachering als op projectbasis. Je werkgebied omvat heel Nederland. </t>
  </si>
  <si>
    <t>https://www.jouwictvacature.nl/solliciteren?job=net-engineer-bij-sogeti-6</t>
  </si>
  <si>
    <t>.Net Architect bij Sogeti in Amersfoort</t>
  </si>
  <si>
    <t>https://www.jouwictvacature.nl/solliciteren?job=net-lead-engineer-bij-sogeti-6</t>
  </si>
  <si>
    <t>.Net Lead Engineer bij Sogeti in Amsterdam</t>
  </si>
  <si>
    <t>https://www.jouwictvacature.nl/solliciteren?job=senior-net-engineer-bij-sogeti</t>
  </si>
  <si>
    <t>.Net Architect bij Sogeti in Vianen</t>
  </si>
  <si>
    <t>https://www.jouwictvacature.nl/solliciteren?job=net-lead-engineer-bij-sogeti</t>
  </si>
  <si>
    <t>Medior Microsoft SharePoint Specialist bij Sogeti in Eindhoven</t>
  </si>
  <si>
    <t>https://www.jouwictvacature.nl/solliciteren?job=microsoft-sharepoint-specialist-bij-sogeti-6</t>
  </si>
  <si>
    <t>Medior .Net Engineer bij Sogeti in Amsterdam</t>
  </si>
  <si>
    <t>https://www.jouwictvacature.nl/solliciteren?job=net-engineer-bij-sogeti-2</t>
  </si>
  <si>
    <t>Square</t>
  </si>
  <si>
    <t>ROERMOND</t>
  </si>
  <si>
    <t xml:space="preserve">Vacature medior Zend Developer </t>
  </si>
  <si>
    <t>Ben jij klaar voor een nieuwe stap bij Square?</t>
  </si>
  <si>
    <t>https://www.jouwictvacature.nl/solliciteren?job=gedreven-medior-zend-developer-bij-square</t>
  </si>
  <si>
    <t xml:space="preserve">Gedreven Senior Zend Developer met ervaring gezocht!  </t>
  </si>
  <si>
    <t>Ben jij op zoek naar een afwisselende en uitdagende baan? Een baan waar je jouw ambities om mooie oplossingen te realiseren kunt inzetten? Wil jij zelf uitgedaagd worden om nieuwe dingen te leren? Wil jij jouw kennis en ervaring delen met collega's en leren van anderen? Dan maken wij graag kennis met jou!</t>
  </si>
  <si>
    <t>https://www.jouwictvacature.nl/solliciteren?job=gedreven-senior-zend-developer-met-ervaring-gezocht-bij-square</t>
  </si>
  <si>
    <t>Streamit BV</t>
  </si>
  <si>
    <t>Senior Back-end Developer | Webapplicaties | Ruby, Rails, AWS, Heroku</t>
  </si>
  <si>
    <t>Heb jij je sporen verdiend als back-end developer? Herken je goede code in een oogopslag, en kun je goed omgaan met zelfstandigheid? Wil je graag voor verschillende gebruikersgroepen werken, en tegelijkertijd aan een ecosysteem van samenwerkende applicaties? Dan kun jij als senior developer bij Streamit een belangrijke rol gaan spelen in de ontwikkeling van innovatieve webapplicaties.</t>
  </si>
  <si>
    <t>https://www.jouwictvacature.nl/solliciteren?job=senior-back-end-developer--webapplicaties--ruby-rails-aws-heroku-bij-s</t>
  </si>
  <si>
    <t>Senior Java-developer met analytisch vermogen | Linux, Android</t>
  </si>
  <si>
    <t>Ben jij een ervaren Java-developer die zich thuis voelt in applicatieontwikkeling voor apparaten? Vind je kwaliteit belangrijker dan kwantiteit en denk je liever twee keer na, voor je begint met programmeren? Wil je werken aan innovatieve audio- en video-oplossingen en ben je niet bang om verantwoordelijkheid te dragen? Dan heeft Streamit een mooie plek voor jou in zijn ontwikkelteam.</t>
  </si>
  <si>
    <t>https://www.jouwictvacature.nl/solliciteren?job=senior-java-developer-for-digital-signage-and-in-store-audio</t>
  </si>
  <si>
    <t>Sumedia</t>
  </si>
  <si>
    <t xml:space="preserve">Senior Magento developer </t>
  </si>
  <si>
    <t>Op zoek naar een uitdagende Backend Developer functie?_x000D_
Door toenemende groei zijn wij per direct op zoek naar een Backend Developer met ervaring in WordPress_x000D_
en Magento! Ben jij die programmeur die graag in een jong en snelgroeiend team werkt? Een echte teamplayer_x000D_
met een oplossend denkvermogen en flexibele werkhouding? Stop dan met zoeken! Want Sumedia is_x000D_
op zoek naar jou!</t>
  </si>
  <si>
    <t>https://www.jouwictvacature.nl/solliciteren?job=magento-developer-met-ambitie-2</t>
  </si>
  <si>
    <t>Sysunite B.V.</t>
  </si>
  <si>
    <t>DELFT</t>
  </si>
  <si>
    <t xml:space="preserve">Medior Full Stack Ontwikkelaar </t>
  </si>
  <si>
    <t xml:space="preserve">Ben jij diegene die ons jonge, hecht en creatieve team van software engineers komt versterken? </t>
  </si>
  <si>
    <t>https://www.jouwictvacature.nl/solliciteren?job=medior-full-stack-ontwikkelaar-bij-sysunite-bv</t>
  </si>
  <si>
    <t xml:space="preserve">Junior Full Stack Ontwikkelaar  </t>
  </si>
  <si>
    <t>https://www.jouwictvacature.nl/solliciteren?job=junior-full-stack-ontwikkelaar-bij-sysunite-bv</t>
  </si>
  <si>
    <t>Senior Software Developer Front-end/Back-end</t>
  </si>
  <si>
    <t>https://www.jouwictvacature.nl/solliciteren?job=senior-software-developer-front-endback-end-bij-sysunite-bv</t>
  </si>
  <si>
    <t xml:space="preserve">Junior Software Developer Front-end/Back-end </t>
  </si>
  <si>
    <t>https://www.jouwictvacature.nl/solliciteren?job=junior-software-developer-front-endback-end-bij-sysunite-bv</t>
  </si>
  <si>
    <t>Tenuki B.V.</t>
  </si>
  <si>
    <t>S-HERTOGENBOSCH</t>
  </si>
  <si>
    <t xml:space="preserve">Medior Java Developer  </t>
  </si>
  <si>
    <t>Doet het woord “beans” je aan Java componenten denken (en niet aan bonen) en draag je graag bij aan nieuwe ontwikkelingen op missie kritische applicaties dan zijn wij op zoek naar jou!</t>
  </si>
  <si>
    <t>https://www.jouwictvacature.nl/solliciteren?job=medior-java-developer-bij-tenuki-bv-3</t>
  </si>
  <si>
    <t>DELFGAUW</t>
  </si>
  <si>
    <t>Senior Java Developer | Spring, Hibernate, Maven, Tomcat, Sonar, JUnit Seam, GWT</t>
  </si>
  <si>
    <t>https://www.jouwictvacature.nl/solliciteren?job=senior-java-developer-bij-tenuki-bv</t>
  </si>
  <si>
    <t>Junior Software Developer | Delphi, C++, C#, Java, Firebird, SQL, Interbase</t>
  </si>
  <si>
    <t>Heb je maximaal 2 twee jaar ervaring als software developer, ben je gedreven in je vak en altijd op zoek om jezelf te verbeteren? Wij zoeken professionals die meer verantwoordelijkheid willen en kunnen dragen in onze prominente projecten.</t>
  </si>
  <si>
    <t>https://www.jouwictvacature.nl/solliciteren?job=junior-software-developer--delphi-c-c-java-firebird-sql-interbase</t>
  </si>
  <si>
    <t xml:space="preserve">Junior Java Developer </t>
  </si>
  <si>
    <t>https://www.jouwictvacature.nl/solliciteren?job=junior-java-developer-bij-tenuki-bv-2</t>
  </si>
  <si>
    <t>Thuisbezorgd.nl</t>
  </si>
  <si>
    <t>ENSCHEDE</t>
  </si>
  <si>
    <t>Ervaren Back-end Developer | Allround Programmeur</t>
  </si>
  <si>
    <t>Laat jij wel eens eten thuisbezorgen? Ongetwijfeld. Lijkt het je leuk om als back-end developer voor dé marktleider op dit gebied het proces van bestelling tot bezorging steeds beter te maken? _x000D_
Takeaway.com groeit stormachtig, en heeft plek voor ervaren developers. Een informele sfeer, een plek in een groot, professioneel team én een opleidingsbudget staan voor je klaar. Iets voor jou? Lees snel verder.</t>
  </si>
  <si>
    <t>https://www.jouwictvacature.nl/solliciteren?job=ervaren-back-end-developer--allround-programmeur</t>
  </si>
  <si>
    <t>ThunderBuild BV</t>
  </si>
  <si>
    <t>Bij ThunderBuild zijn we ervan overtuigd dat we onze talenten en ambities moeten inzetten om de middelen op deze aarde slimmer te benutten. Op die manier kunnen we langer goed en gezond leven._x000D_
Onze bijdrage daaraan? Wij ontwikkelen slimme, laagdrempelige hard- en softwareoplossingen die data verzamelen over gebeurtenissen en gebruik maken van beschikbare data en meetmomenten in processen. We maken gebruiksvriendelijke applicaties voor de sectoren GWW, Bouw, Infra en Transport. Onze klanten kunnen met onze applicaties hun processen optimaliseren en real time inzicht krijgen in projecten. Processen worden hierdoor transparanter en efficiënter.</t>
  </si>
  <si>
    <t>https://www.jouwictvacature.nl/solliciteren?job=medior-net-developer--c-aspnet-mvc-angularjs-3</t>
  </si>
  <si>
    <t>TradeCast</t>
  </si>
  <si>
    <t>Jij gaat als Junior Backend Developer een belangrijke rol spelen (en veel leren!) binnen een_x000D_
ervaren en gemotiveerd team. Je werkzaamheden zullen vooral bestaan uit het bouwen van_x000D_
nieuwe toffe features en het realiseren van de nieuwe fase van ons platform.</t>
  </si>
  <si>
    <t>https://www.jouwictvacature.nl/solliciteren?job=junior-backend-javascript-developer-bij-tradecast</t>
  </si>
  <si>
    <t>Trifork</t>
  </si>
  <si>
    <t>Medior Backend Software Engineer | Java, .NET, Groovy, Python, Mongo, Docker</t>
  </si>
  <si>
    <t>Are you a Medior Backend Software Engineer and do you want to work at the most innovative technology agency in The Netherlands? Come work at Trifork!</t>
  </si>
  <si>
    <t>https://www.jouwictvacature.nl/solliciteren?job=medior-backend-software-engineer--java-net-groovy-python-mongo-docker-</t>
  </si>
  <si>
    <t>Starting Java Developer at Trifork in Amsterdam</t>
  </si>
  <si>
    <t>Do you want to do cool stuff, have fun while doing it and tell the world about it? Come work at Trifork!</t>
  </si>
  <si>
    <t>https://www.jouwictvacature.nl/solliciteren?job=starting-java-developer-at-trifork-in-amsterdam-bij-trifork</t>
  </si>
  <si>
    <t>Senior Java Developer in Amsterdam | Spring, (No)SQL databases, Elasticsearch, Docker</t>
  </si>
  <si>
    <t>https://www.jouwictvacature.nl/solliciteren?job=senior-java-developer-in-amsterdam--spring-nosql-databases-elasticsear</t>
  </si>
  <si>
    <t>Medior Machine Learning Developer | Java, Spring Boot, Hibernate, TensorFlow</t>
  </si>
  <si>
    <t>Are you a Machine Learning Developer that wants to do cool stuff? Come work at Trifork in Amsterdam!</t>
  </si>
  <si>
    <t>https://www.jouwictvacature.nl/solliciteren?job=medior-machine-learning-developer--java-spring-boot-hibernate-tensorfl</t>
  </si>
  <si>
    <t>Medior Innovative Backend Software Engineer at Trifork</t>
  </si>
  <si>
    <t>https://www.jouwictvacature.nl/solliciteren?job=medior-innovative-backend-software-engineer-at-trifork-bij-trifork</t>
  </si>
  <si>
    <t>U-Lab</t>
  </si>
  <si>
    <t>CAPELLE A/D IJSSEL</t>
  </si>
  <si>
    <t>Senior Front-end Developer</t>
  </si>
  <si>
    <t xml:space="preserve">Komen werken bij U-Lab, niet omdat je een baan nodig hebt, maar omdat je overloopt van kennis en ambitie. </t>
  </si>
  <si>
    <t>https://www.jouwictvacature.nl/solliciteren?job=senior-front-end-developer-6</t>
  </si>
  <si>
    <t xml:space="preserve">Junior Front-end Developer </t>
  </si>
  <si>
    <t>https://www.jouwictvacature.nl/solliciteren?job=junior-front-end-developer-bij-u-lab</t>
  </si>
  <si>
    <t>Ultraware</t>
  </si>
  <si>
    <t>ASSEN</t>
  </si>
  <si>
    <t>Zit agile in jouw DNA? Weet jij de vertaalslag te maken naar een technisch fundament en te adviseren over de beste technieken en architectuur? Weet jij met het team op een creatieve wijze de juiste balans te vinden tussen kwaliteit enerzijds en het budget en de planning van de klant anderzijds? Lees dan snel verder, want mogelijk zoeken wij jou!</t>
  </si>
  <si>
    <t>https://www.jouwictvacature.nl/solliciteren?job=senior-web-architect-bij-ultraware</t>
  </si>
  <si>
    <t>Zie jij uitdaging in het vertalen van klantwensen naar vernieuwende, geavanceerde en creatieve oplossingen? Wil je hierbij gebruikmaken van de nieuwste tools en technieken als GoLang en Vue? En heb je de nodige ervaring en kennis in huis? Dan zit je bij Ultraware helemaal goed!</t>
  </si>
  <si>
    <t>https://www.jouwictvacature.nl/solliciteren?job=senior-web-developer-bij-ultraware-</t>
  </si>
  <si>
    <t>Ultraware analyseert, optimaliseert en realiseert bedrijfssoftware. Wij helpen onze klanten van een behoefte naar de oplossing. Daarbij maken we gebruik van onze jarenlange ervaring en continue technische innovaties.</t>
  </si>
  <si>
    <t>https://www.jouwictvacature.nl/solliciteren?job=webdeveloper-bij-ultraware-in-assen</t>
  </si>
  <si>
    <t>Universiteit Twente</t>
  </si>
  <si>
    <t>Je beschikt over een sterke drive om je expertise continu op peil te houden en je levert een actieve bijdrage aan de verdere ontwikkeling van het vakgebied binnen onze afdeling. Daarnaast krijg je energie van het overdragen van je expertise aan anderen en haal je er veel voldoening uit om als coach van junior en medior collega’s het beste uit hen naar boven te halen._x000D_
Als senior developer ben je bovendien een echte “doener”: circa 60% van je tijd werk je als teamlid mee aan het realiseren van projecten.</t>
  </si>
  <si>
    <t>https://www.jouwictvacature.nl/solliciteren?job=senior-java-developer-bij-de-universiteit-van-twente</t>
  </si>
  <si>
    <t>Volant Groep</t>
  </si>
  <si>
    <t>Junior Software Tester bij Volant Groep in Gouda</t>
  </si>
  <si>
    <t>Als Junior Software Tester een bijdrage leveren aan onze oplossingen voor de lokale overheid?</t>
  </si>
  <si>
    <t>https://www.jouwictvacature.nl/solliciteren?job=junior-software-tester-bij-volant-groep-in-gouda-bij-volant-groep</t>
  </si>
  <si>
    <t>Web Whales</t>
  </si>
  <si>
    <t xml:space="preserve">Ervaren Senior wordpress developer gezocht </t>
  </si>
  <si>
    <t>Heb jij in je carrière meer op Stack Overflow en GitHub gezeten dan op Facebook? Krijg je er een kick van als jouw code werkt en zie je complexe functies als een uitdaging? Dan zijn we opzoek naar jou!</t>
  </si>
  <si>
    <t>https://www.jouwictvacature.nl/solliciteren?job=ervaren-senior-wordpress-developer-gezocht-bij-web-whales</t>
  </si>
  <si>
    <t>Ervaren wordpress developer gezocht</t>
  </si>
  <si>
    <t>https://www.jouwictvacature.nl/solliciteren?job=ervaren-wordpress-developer-gezocht</t>
  </si>
  <si>
    <t>Webbeat</t>
  </si>
  <si>
    <t>WATERINGEN</t>
  </si>
  <si>
    <t xml:space="preserve">Medior IOS Developer </t>
  </si>
  <si>
    <t>Werk dichtbij huis met state-of-the-art technologie aan internationaal succes</t>
  </si>
  <si>
    <t>https://www.jouwictvacature.nl/solliciteren?job=medior-ios-developer-bij-webbeat</t>
  </si>
  <si>
    <t>Junior IOS Developer</t>
  </si>
  <si>
    <t>https://www.jouwictvacature.nl/solliciteren?job=junior-ios-developer-bij-webbeat</t>
  </si>
  <si>
    <t xml:space="preserve">Senior IOS Developer  </t>
  </si>
  <si>
    <t>https://www.jouwictvacature.nl/solliciteren?job=senior-ios-developer-bij-webbeat</t>
  </si>
  <si>
    <t>Ben jij een creatieve en enthousiaste .NET ontwikkelaar en zoek je een uitdagende functie in de omgeving van Den-Haag?</t>
  </si>
  <si>
    <t>https://www.jouwictvacature.nl/solliciteren?job=senior-net-ontwikkelaar-bij-webbeat-</t>
  </si>
  <si>
    <t>Wielink Websolutions</t>
  </si>
  <si>
    <t>NUNSPEET</t>
  </si>
  <si>
    <t>Senior PHP webontwikkelaar met kennis van Laravel</t>
  </si>
  <si>
    <t xml:space="preserve">Wij zijn goed in wat we doen: het realiseren van websites en webapplicaties voor meer online resultaat. Onze tevreden klanten zijn er het beste bewijs van. _x000D_
_x000D_
Vind jij het een uitdaging om bij te dragen aan de ontwikkeling van grote (e-commerce) websites en top webapplicaties? Dan is een baan bij Wielink websolutions wat voor jou! </t>
  </si>
  <si>
    <t>https://www.jouwictvacature.nl/solliciteren?job=gedreven-php-webontwikkelaar-medior-</t>
  </si>
  <si>
    <t>Yourzine</t>
  </si>
  <si>
    <t>DEN BOSCH</t>
  </si>
  <si>
    <t>Als Junior Front-end Developer werk je als digitale duizendpoot aan marketing campagnes binnen diverse Campagne Management Tools (o.a. Selligent Interactive Marketing).</t>
  </si>
  <si>
    <t>https://www.jouwictvacature.nl/solliciteren?job=junior-front-end-developer-bij-yourzine</t>
  </si>
  <si>
    <t>Medior Fullstack Developer</t>
  </si>
  <si>
    <t>Als Medior Fullstack Developer werk je als digitale duizendpoot aan marketing campagnes binnen diverse Campagne Management Tools (o.a. Selligent Interactive Marketing).</t>
  </si>
  <si>
    <t>https://www.jouwictvacature.nl/solliciteren?job=medior-fullstack-developer-bij-yourzine</t>
  </si>
  <si>
    <t xml:space="preserve">Junior Java-developer | Spring, AngularJS, SOAP, Rest API, Jenkins </t>
  </si>
  <si>
    <t>https://www.jouwictvacature.nl/solliciteren?job=junior-java-developer--spring-angularjs-soap-rest-api-jenkins-bij-hybr-2</t>
  </si>
  <si>
    <t>Werken in een omgeving waar innovatie altijd centraal staat? Behoefte aan veel afwisseling en uitdaging? We zoeken een ervaren Java developer die met zijn/haar expertise avancerende en vernieuwende tools gaat ontwikkelen! Op onze groene campus krijg je alle ruimte om jezelf te ontwikkelen en anderen te stimuleren!</t>
  </si>
  <si>
    <t>https://www.jouwictvacature.nl/solliciteren?job=senior-java-developer-bij-de-universiteit-twente</t>
  </si>
  <si>
    <t>Senior FullStack Software Ontwikkelaar | Java, Javascript, Angular2, Spring, UML</t>
  </si>
  <si>
    <t>https://www.jouwictvacature.nl/solliciteren?job=senior-fullstack-software-ontwikkelaar--java-javascript-angular2-sprin</t>
  </si>
  <si>
    <t xml:space="preserve">Medior Mulesoft Specialist bij HybrIT </t>
  </si>
  <si>
    <t>https://www.jouwictvacature.nl/solliciteren?job=medior-mulesoft-specialist-bij-hybrit-bij-hybrit</t>
  </si>
  <si>
    <t>Medior Java Developer at Trifork in Amsterdam</t>
  </si>
  <si>
    <t>https://www.jouwictvacature.nl/solliciteren?job=medior-java-developer-at-trifork-in-amsterdam-bij-trifork</t>
  </si>
  <si>
    <t xml:space="preserve">Startende Agile Test Engineer bij Bartosz </t>
  </si>
  <si>
    <t>Wij zijn per direct op zoek naar startenede agile test engineers om deel te nemen aan onze ‘Test engineer Traineeship'!</t>
  </si>
  <si>
    <t>https://www.jouwictvacature.nl/solliciteren?job=startende-agile-test-engineer-bij-bartosz-bij-bartosz-eindhoven</t>
  </si>
  <si>
    <t xml:space="preserve">Senior Software Tester bij Volant Groep in Gouda </t>
  </si>
  <si>
    <t>Als Senior Software Tester een bijdrage leveren aan onze oplossingen voor de lokale overheid?</t>
  </si>
  <si>
    <t>https://www.jouwictvacature.nl/solliciteren?job=senior-software-tester-bij-volant-groep-in-gouda-</t>
  </si>
  <si>
    <t>https://www.jouwictvacature.nl/solliciteren?job=senior-net-developer-bij-bloemert</t>
  </si>
  <si>
    <t>Senior .Net Engineer bij Sogeti in Vianen</t>
  </si>
  <si>
    <t>https://www.jouwictvacature.nl/solliciteren?job=medior-net-engineer-bij-sogeti</t>
  </si>
  <si>
    <t xml:space="preserve">.NET Developer </t>
  </si>
  <si>
    <t>https://www.jouwictvacature.nl/solliciteren?job=net-developer--2</t>
  </si>
  <si>
    <t>De Haan</t>
  </si>
  <si>
    <t>ALMERE</t>
  </si>
  <si>
    <t>.NET Developer | Veel diversiteit in de werkzaamheden in een sociale omgeving</t>
  </si>
  <si>
    <t>De Haan IT Nederland B.V. groeit sterk, maar wil ook voorop blijven lopen.  In de functie draag je bij aan verdere ontwikkeling van onze producten en de oplossing van maatwerkproducten voor onze klanten.</t>
  </si>
  <si>
    <t>https://www.jouwictvacature.nl/solliciteren?job=ambitieuze-developer-net-applicaties-voor-mooie-klanten-als-de-eftelin</t>
  </si>
  <si>
    <t>Ervaren .NET ontwikkelaar</t>
  </si>
  <si>
    <t>ICATT zoekt een (zeer) ervaren .NET ontwikkelaar. Je kunt in teamverband, samen met product owners, webeditors, medeprogrammeurs en vormgevers, online applicaties bouwen. De techniek van diverse systemen moet je je gemakkelijk eigen kunnen maken. Daarnaast heb je een actieve inbreng bij ICATT in nieuwe ontwikkelingen op je vakgebied. Wij verwachten dat je visie en strategie uitdraagt en enthousiast meedenkt in het doorontwikkelen van bestaande systemen.</t>
  </si>
  <si>
    <t>https://www.jouwictvacature.nl/solliciteren?job=senior-enof-lead-net-developer-bij-icatt-in-hartje-amsterdam-2</t>
  </si>
  <si>
    <t>https://www.jouwictvacature.nl/solliciteren?job=c--aspnet--wpf-ontwikkelaar</t>
  </si>
  <si>
    <t>Internet Marketing Universiteit</t>
  </si>
  <si>
    <t>Ben jij een backender in hart en nieren? Een echte PHP / Laravel koning? Hou je van verantwoordelijkheid, werken in een klein team en een platte bedrijfscultuur? Kom dan bij ons team en vergroot dan het succes van meer dan 1100 websites met jouw backend expertise!</t>
  </si>
  <si>
    <t>https://www.jouwictvacature.nl/solliciteren?job=php-developer-bij-imu-</t>
  </si>
  <si>
    <t>https://www.jouwictvacature.nl/solliciteren?job=junior-programmeur-bij-not-on-paper</t>
  </si>
  <si>
    <t>Medior Full Stack Developer</t>
  </si>
  <si>
    <t>Ben jij een Full-stack Developer met front-end skills? Bij Maximum ontwikkel je in een leuk team nieuwe campagnes, websites en apps en verbeter je continu de user experience ervan. Dit doe je voor grote klanten zoals het Ministerie van Defensie, VodafoneZiggo en de Belastingdienst. Nieuwsgierig? Kom kennismaken!</t>
  </si>
  <si>
    <t>https://www.jouwictvacature.nl/solliciteren?job=medior-full-stack-developer-bij-maximumnl</t>
  </si>
  <si>
    <t>Bureau Vet</t>
  </si>
  <si>
    <t>BOXMEER</t>
  </si>
  <si>
    <t xml:space="preserve">Junior Wordpress developer </t>
  </si>
  <si>
    <t>Ben jij onze Junior Wordpress developer?</t>
  </si>
  <si>
    <t>https://www.jouwictvacature.nl/solliciteren?job=junior-wordpress-developer-bij-bureau-vet</t>
  </si>
  <si>
    <t>Service &amp; Support Developer</t>
  </si>
  <si>
    <t>https://www.jouwictvacature.nl/solliciteren?job=service-en-support-developer</t>
  </si>
  <si>
    <t>Medior Laravel DEVELOPER</t>
  </si>
  <si>
    <t>https://www.jouwictvacature.nl/solliciteren?job=medior-laravel-developer-bij-aan-zee-communicatie</t>
  </si>
  <si>
    <t>Product Developer Symfony / DevOps (start-up)</t>
  </si>
  <si>
    <t>Voor een van onze start-ups (Armarium) zijn we op zoek naar een Developer die het platform kan uitbouwen tot een van de meest innovatieve en veiligste platformen voor de advocatuur._x000D_
_x000D_
Ons doel is om de huidige omgeving van 6 servers uit te bouwen naar een volledig redundant uitgevoerd platform met een uitwijkomgeving en voorzien van de hoogste veiligheidsmaatregelen._x000D_
_x000D_
Je zult gaan werken voor Netvlies en daarmee krijg je gelijk ook de ruimte voor nieuwe initiatieven en ideeën die we op de markt kunnen verkopen en je krijgt alle ruimte om je toekomst naar eigen inzicht in te vullen. Je zult werken binnen de Business Solutions afdeling waar we werken aan webapplicaties, webportals en innovatieve en schaalbare cloud oplossingen.</t>
  </si>
  <si>
    <t>https://www.jouwictvacature.nl/solliciteren?job=product-developer-symfony--devops-start-up</t>
  </si>
  <si>
    <t xml:space="preserve">Junior PHP Developer  </t>
  </si>
  <si>
    <t>https://www.jouwictvacature.nl/solliciteren?job=junior-php-developer--3</t>
  </si>
  <si>
    <t>Medior Back-end Developer regio Groningen</t>
  </si>
  <si>
    <t>https://www.jouwictvacature.nl/solliciteren?job=gedreven-back-end-developer</t>
  </si>
  <si>
    <t>PHP / Magento Developer</t>
  </si>
  <si>
    <t xml:space="preserve">Binnen team Leef zet je als PHP developer samen met je directe collega’s je kennis en creativiteit in voor het bouwen van innovatieve webbased software voor de farmacie. _x000D_
_x000D_
Binnen Isatis Health (een van de business units van Isatis Group) werken we met team Leef aan de website van ongeveer 500 apotheken, aan de webwinkels Leef.nl en Yourskin.nl en aan andere webapplicaties voor apotheken. _x000D_
Ons portfolio bestaat uit een groot scala aan verschillende applicaties die dagelijks in meer dan 800 apotheken gebruikt worden. Waaronder een apotheek bij jou in de wijk. </t>
  </si>
  <si>
    <t>https://www.jouwictvacature.nl/solliciteren?job=php--magento-developer-bij-topwerkgever</t>
  </si>
  <si>
    <t xml:space="preserve">Medior Javascript Developer </t>
  </si>
  <si>
    <t>https://www.jouwictvacature.nl/solliciteren?job=medior-javascript-developer-bij-maximumnl</t>
  </si>
  <si>
    <t xml:space="preserve">Medior Software Developer Front-end/Back-end </t>
  </si>
  <si>
    <t>https://www.jouwictvacature.nl/solliciteren?job=medior-software-developer-bij-sysunite-bv</t>
  </si>
  <si>
    <t>Rentman</t>
  </si>
  <si>
    <t>Als JavaScript developer bij Rentman ga jij aan de slag om onze nieuwe oplossingen en interfaces te ontwerpen en te bouwen zodat onze klanten sneller kunnen plannen!</t>
  </si>
  <si>
    <t>https://www.jouwictvacature.nl/solliciteren?job=medior-javascript-developer-bij-rentman-bij-rentman</t>
  </si>
  <si>
    <t>NOORDWIJK</t>
  </si>
  <si>
    <t xml:space="preserve">Medior Fullstack Developer </t>
  </si>
  <si>
    <t>Innoveren is vooruitzien. Vooral als je een goede applicatie architectuur wilt neerzetten. Denk jij honderd stappen vooruit, hou je van clean code, ben je fan van SCRUM? Eat your heart out @Aan Zee.</t>
  </si>
  <si>
    <t>https://www.jouwictvacature.nl/solliciteren?job=medior-fullstack-developer-bij-aan-zee-communicatie</t>
  </si>
  <si>
    <t>We4sea</t>
  </si>
  <si>
    <t>Medior Front-end Developer</t>
  </si>
  <si>
    <t>A front-end developer, with a keen eye for usability and consistency of web apps.</t>
  </si>
  <si>
    <t>https://www.jouwictvacature.nl/solliciteren?job=medior-front-end-developer-bij-we4sea</t>
  </si>
  <si>
    <t>BiZZdesign</t>
  </si>
  <si>
    <t xml:space="preserve">Wil jij deel uitmaken van een zeer ambitieus en jong softwarebedrijf in de omgeving van Enschede? En daarbij de kans krijgen om je zo breed mogelijk te oriënteren en ontwikkelen? Bij BIZZdesign snappen we dat jij als front-ender de beste tools nodig hebt om goed te kunnen werken. Die krijg je bij ons dan ook! – Grijp jij deze kans? </t>
  </si>
  <si>
    <t>https://www.jouwictvacature.nl/solliciteren?job=front-end-developer-bij-bizzdesign-</t>
  </si>
  <si>
    <t xml:space="preserve">Senior Java (Full Stack) Developer bij DPA GEOS </t>
  </si>
  <si>
    <t>https://www.jouwictvacature.nl/solliciteren?job=senior-java-full-stack-developer-bij-dpa-geos-bij-dpa-4</t>
  </si>
  <si>
    <t xml:space="preserve">Senior Backend Java  Developer | Hibernate, JPA, Spring MVC, Oracle </t>
  </si>
  <si>
    <t>https://www.jouwictvacature.nl/solliciteren?job=senior-java-developer--hibernate-jpa-spring-mvc-oracle-bij-dpa-geos-3</t>
  </si>
  <si>
    <t xml:space="preserve">Senior Mobile Developer bij DPA GEOS </t>
  </si>
  <si>
    <t>https://www.jouwictvacature.nl/solliciteren?job=senior-mobile-developer-bij-dpa-geos-bij-dpa-geos-4</t>
  </si>
  <si>
    <t>https://www.jouwictvacature.nl/solliciteren?job=medior-testanalist-bij-bartosz-bij-bartosz-arnhem</t>
  </si>
  <si>
    <t>CC-Group</t>
  </si>
  <si>
    <t xml:space="preserve">RIJSWIJK </t>
  </si>
  <si>
    <t xml:space="preserve">Senior Hippo/CMS Developer  </t>
  </si>
  <si>
    <t>In jouw nieuwe rol zul je terechtkomen in een gepassioneerd team, dat in nauw overleg met klanten bezig is met het ontwikkelen en optimaliseren van projecten.</t>
  </si>
  <si>
    <t>https://www.jouwictvacature.nl/solliciteren?job=senior-hippocms-developer-</t>
  </si>
  <si>
    <t>MetaFactory</t>
  </si>
  <si>
    <t>Medior Java Developer at MetaFactory in Amsterdam</t>
  </si>
  <si>
    <t>Want to contribute to the Java world? Start working at MetaFactory!</t>
  </si>
  <si>
    <t>https://www.jouwictvacature.nl/solliciteren?job=medior-java-developer-at-metafactory-in-amsterdam-bij-metafactory</t>
  </si>
  <si>
    <t xml:space="preserve">Medior Backend Java  Developer | Hibernate, JPA, Spring MVC, Oracle </t>
  </si>
  <si>
    <t>https://www.jouwictvacature.nl/solliciteren?job=medior-java-developer--hibernate-jpa-spring-mvc-oracle-bij-dpa-geos-3</t>
  </si>
  <si>
    <t>Medior Java Developer | Spring, Grails, Wicket, JavaScript, Scala</t>
  </si>
  <si>
    <t>https://www.jouwictvacature.nl/solliciteren?job=medior-java-developer--spring-grails-wicket-javascript-scala-bij-dpa-g-2</t>
  </si>
  <si>
    <t xml:space="preserve">Als Office365 SharePoint online Consultant adviseer je klanten over het optimaal inzetten van het Office 365 SharePoint online platform. Je adviseert, prikkelt en daagt klanten uit om het Office 365 platform optimaal in te richten. Met passie voor de klant en met passie voor SharePoint ontwerp jij de perfecte oplossing voor de klanten. Proud to be in the Cloud is wat bij jouw past._x000D_
_x000D_
Je zult een belangrijke rol gaan spelen in de uitvoering van onze Office365/SharePoint online implementaties. Dit begint vaak al bij het intact traject. Jouw adviesvaardigheden komen daarbij goed van pas. Maar ook jouw kennis van (nieuwe) technologische ontwikkelingen van het Office 365 platform zal je vaak kunnen gebruiken. _x000D_
_x000D_
Door middel van analyse sessies bepaal je de behoefte van de klant en vertaalt dit naar een concrete oplossing op basis van het Microsoft Office 365 platform. Met je uitstekende communicatieve vaardigheden kun je de oplossing duidelijk met de klant afstemmen en dit ook overbrengen. Je ontwikkelt passende oplossingen op basis van Office 365/ SharePoint projecten aan de hand van architectuur, requirements, functionele en technische ontwerpen en/of use cases._x000D_
</t>
  </si>
  <si>
    <t>https://www.jouwictvacature.nl/solliciteren?job=office-365--sharepoint-online-consultant</t>
  </si>
  <si>
    <t>De Goudse</t>
  </si>
  <si>
    <t>GOUDA</t>
  </si>
  <si>
    <t xml:space="preserve">Je gaat werken bij een van de Mendix-teams van de Goudse ICT. Het team werkt volgens Agile/Scrum en is verantwoordelijk voor zowel de (door)ontwikkeling van applicaties als het beheer van de bestaande applicaties (DevOps). Mendix wordt ingezet voor het ontwikkelen van maatwerk applicaties. Daarbij worden proces ondersteunende applicaties gemaakt voor de eigen interne medewerkers en (web) applicaties voor de buitenwereld : werkgevers, werknemers, adviseurs, volmachten en consumenten._x000D_
_x000D_
</t>
  </si>
  <si>
    <t>https://www.jouwictvacature.nl/solliciteren?job=senior-mendix-ontwikkelaar-</t>
  </si>
  <si>
    <t>Diract IT</t>
  </si>
  <si>
    <t xml:space="preserve">Diract IT is op zoek naar een Applicatie Engineer. Type: Slimme denker, praktische doener, communicatief, vol ambitie en bij voorkeur met logistieke kennis. </t>
  </si>
  <si>
    <t>https://www.jouwictvacature.nl/solliciteren?job=medior-applicatie-engineer-bij-diract-it</t>
  </si>
  <si>
    <t>https://www.jouwictvacature.nl/solliciteren?job=senior-net-developer-met-communicatieve-vaardigheden</t>
  </si>
  <si>
    <t>Bookerz</t>
  </si>
  <si>
    <t>RAVESTEIN</t>
  </si>
  <si>
    <t>Junior C#/.NET developer</t>
  </si>
  <si>
    <t xml:space="preserve">Bookerz is pionier in marketing automation. We leveren al 10 jaar hoogwaardige technologie op het gebied van marketing- en communicatie. _x000D_
 _x000D_
Als nieuwe backend developer vind je het een cadeautje om samen met ons te groeien en te bouwen aan de ontwikkeling van (complexe) online systemen voor onze klanten. Wandel door een gemiddelde winkelstraat of kijk een willekeurig reclameblok op televisie en je komt verschillende partijen tegen waarvoor wij mogen werken. _x000D_
 _x000D_
Je werkt bij ons niet in een typische IT-omgeving, want je ook e-mailmarketeers, designers en communicatiemensen zijn straks jouw collega. Je hoeft echter geen hysterische marketinggoeroes te verwachten. Doe maar normaal, dan doe je al gek genoeg. </t>
  </si>
  <si>
    <t>https://www.jouwictvacature.nl/solliciteren?job=junior-cnet-developer-bij-bookerz</t>
  </si>
  <si>
    <t>C++/C# Developer bij Marketgraph | C++, OpenGL, 3D Programmeren</t>
  </si>
  <si>
    <t>https://www.jouwictvacature.nl/solliciteren?job=cc-developer-bij-marketgraph--c-opengl-3d-programmeren</t>
  </si>
  <si>
    <t>Freetime Company</t>
  </si>
  <si>
    <t>The European hospitality specialist Freetime Company B.V. and its subsidiary Freetime Hospitality B.V. are looking for sophisticated, dedicated and diligent Senior Developers to add to our ever growing team of specialists.</t>
  </si>
  <si>
    <t>https://www.jouwictvacature.nl/solliciteren?job=medior-developer-c-net-or-angularjs-bij-freetime-company</t>
  </si>
  <si>
    <t xml:space="preserve">Medior PHP Developer   </t>
  </si>
  <si>
    <t>https://www.jouwictvacature.nl/solliciteren?job=medior-php-developer-bij-nobears</t>
  </si>
  <si>
    <t xml:space="preserve">Gedreven PHP webontwikkelaar (Medior) </t>
  </si>
  <si>
    <t>https://www.jouwictvacature.nl/solliciteren?job=allround-php-webontwikkelaar-2</t>
  </si>
  <si>
    <t xml:space="preserve">Medior Full-Stack Developer bij Sumedia </t>
  </si>
  <si>
    <t>https://www.jouwictvacature.nl/solliciteren?job=medior-full-stack-developer-bij-sumedia</t>
  </si>
  <si>
    <t>Junior PHP-PROGRAMMEUR</t>
  </si>
  <si>
    <t>https://www.jouwictvacature.nl/solliciteren?job=junior-php-programmeur-bij-hvmp-marketing--ernesto-</t>
  </si>
  <si>
    <t>23G</t>
  </si>
  <si>
    <t xml:space="preserve">Junior Laravel back-end developer </t>
  </si>
  <si>
    <t>Ben jij goed in het bouwen van een strakke website? Ben je sterk in het maken van goede, mooie en bruikbare code in een modern PHP framework? Dan zijn wij op zoek naar jou!</t>
  </si>
  <si>
    <t>https://www.jouwictvacature.nl/solliciteren?job=junior-laravel-back-end-developer-bij-23g</t>
  </si>
  <si>
    <t>Word jij de nieuwe Technisch Projectmanager van Growing Minds?</t>
  </si>
  <si>
    <t>https://www.jouwictvacature.nl/solliciteren?job=technisch-projectmanager-bij-growing-minds</t>
  </si>
  <si>
    <t>Flashpoint</t>
  </si>
  <si>
    <t>TILBURG</t>
  </si>
  <si>
    <t>Medior laravel developer</t>
  </si>
  <si>
    <t>Als Medior laravel developer werk je aan veelzijdige opdrachten voor toffe opdrachtgevers binnen een zeer gedreven team. PHP is jouw exceptionele kwaliteit en je weet op ieder vraagstuk een passend antwoord. Samen met het back-end team ben je verantwoordelijk voor goed functionerende data koppelingen, maatwerk modules, sterke zoekmachines en meer.</t>
  </si>
  <si>
    <t>https://www.jouwictvacature.nl/solliciteren?job=medior-laravel-developer-bij-flashpoint</t>
  </si>
  <si>
    <t>CL Web</t>
  </si>
  <si>
    <t>PHP Developer bij CL Web</t>
  </si>
  <si>
    <t>CL Web ontwikkelt applicaties op maat in Laravel. Dit framework maakt het mogelijk om snel resultaat te boeken en grote applicaties te ontwikkelen in korte tijd. We ontwikkelen maatwerk applicaties voor diverse leuke (internationale) bedrijven. Tevens bouwen we aan ons eigen Big Data project, waarbij we gebruik maken van de nieuwste webtechnieken. Kom jij je creativiteit en kennis loslaten op onze projecten en het team versterken?!</t>
  </si>
  <si>
    <t>https://www.jouwictvacature.nl/solliciteren?job=php-developer-bij-cl-web</t>
  </si>
  <si>
    <t xml:space="preserve">Senior Full-Stack Developer bij Sumedia  </t>
  </si>
  <si>
    <t>https://www.jouwictvacature.nl/solliciteren?job=senior-full-stack-developer-bij-sumedia</t>
  </si>
  <si>
    <t xml:space="preserve">Senior Fullstack Developer (focus op Front-end)  </t>
  </si>
  <si>
    <t>https://www.jouwictvacature.nl/solliciteren?job=senior-fullstack-developer-focus-op-front-end-bij-mplus</t>
  </si>
  <si>
    <t>https://www.jouwictvacature.nl/solliciteren?job=senior-javascript-developer-2</t>
  </si>
  <si>
    <t>Senior Javascript Ontwikkelaar</t>
  </si>
  <si>
    <t>Jij bent een front-end developer die ook vind dat de front-end leading dient te zijn in elk online project. Je kan goed samenwerken met de back-end developers om het project succesvol af te ronden. Daarnaast ben natuurlijk enthousiast over je vakgebied en ben je op de hoogte van de nieuwste ontwikkelingen op het gebied van online interactie, HTML, CSS en de interessantere scripting libraries. Je kan als front-ender ook prima uit de voeten met en zonder een CSS framework. De woorden responsive, SASS, Bootstrap, GIT, GULP en TWIG hoef je niet op te zoeken in een woordenboek.</t>
  </si>
  <si>
    <t>https://www.jouwictvacature.nl/solliciteren?job=senior-javascript-ontwikkelaar-bij-not-on-paper</t>
  </si>
  <si>
    <t>ValueBlue</t>
  </si>
  <si>
    <t>Op zoek naar een rol als Front-end developer bij een gedreven IT werkgever met een primaire focus op innovatie en productontwikkeling? Bij ValueBlue krijg je de kans om het verschil te maken in het zichtbare deel van onze innovatieve web applicatie BlueDolphin!</t>
  </si>
  <si>
    <t>https://www.jouwictvacature.nl/solliciteren?job=medior-front-end-developer-bij-valueblue</t>
  </si>
  <si>
    <t>Hostnet</t>
  </si>
  <si>
    <t>Werken in hartje Amsterdam met een weids uitzicht over het IJ?_x000D_
Wil jij aan de slag in een dynamische e-commerceomgeving bij een snelgroeiend hostingbedrijf? Wij zoeken een communicatieve front-end developer die onze website continu verbetert. Dankzij jouw inzet bieden wij klanten een geweldige online ervaring en help jij mee aan onze groeiambitie. De locatie is top: hartje Amsterdam en erg goed bereikbaar (naast Centraal Station). Bovendien is er veel ruimte om jezelf te ontwikkelen.</t>
  </si>
  <si>
    <t>https://www.jouwictvacature.nl/solliciteren?job=medior-front-end-developer-bij-hostnet</t>
  </si>
  <si>
    <t>Junior technische Front-end Developer</t>
  </si>
  <si>
    <t>https://www.jouwictvacature.nl/solliciteren?job=technische-front-end-developer-2</t>
  </si>
  <si>
    <t>Gemini Design</t>
  </si>
  <si>
    <t>We zoeken een front-end developer met de ambitie onze online businessunit te helpen versterken en uit te bouwen! Een expert die constant naar nieuwe online mogelijkheden zoekt om onze doelgroepen nog beter te bereiken.</t>
  </si>
  <si>
    <t>https://www.jouwictvacature.nl/solliciteren?job=medior-front-end-developer-bij-gemini-design</t>
  </si>
  <si>
    <t>CreaBea</t>
  </si>
  <si>
    <t>Een enigszins eigenwijs creatieveling die inspirerende ideeen omzet naar pakkende concepten en spraakmakende offline en online designs!</t>
  </si>
  <si>
    <t>https://www.jouwictvacature.nl/solliciteren?job=senior-allround-designer-bij-creabea</t>
  </si>
  <si>
    <t>Senior Java Developer in Amsterdam | IOT, Java, Ruby, C, SOA, SAAS</t>
  </si>
  <si>
    <t>https://www.jouwictvacature.nl/solliciteren?job=senior-java-developer-in-amsterdam--iot-java-ruby-c-soa-saas-bij-dexel</t>
  </si>
  <si>
    <t>Stageopdracht: Applicatie Ontwikkeling bij OPEN.satisfaction te Amersfoort</t>
  </si>
  <si>
    <t>Heb je al wat Java ervaring en ben je op zoek naar een uitdagende en leerzame stage in een jong team? Kom je carrière een kick-start geven bij OPEN.satisfaction!</t>
  </si>
  <si>
    <t>https://www.jouwictvacature.nl/solliciteren?job=stageopdracht-applicatie-ontwikkeling-bij-opensatisfaction</t>
  </si>
  <si>
    <t xml:space="preserve">Medior Mobile Developer | iOs, Android, PhoneGap, Objective-C, Java, Swift </t>
  </si>
  <si>
    <t>https://www.jouwictvacature.nl/solliciteren?job=medior-mobile-developer--ios-android-phonegap-objective-c-java-swift-b-4</t>
  </si>
  <si>
    <t>Medior Agile Test Specialist bij Bartosz</t>
  </si>
  <si>
    <t>https://www.jouwictvacature.nl/solliciteren?job=medior-agile-test-specialist-bij-bartosz-bij-bartosz-amsterdam</t>
  </si>
  <si>
    <t>Asset Control</t>
  </si>
  <si>
    <t>HEERENVEEN</t>
  </si>
  <si>
    <t>Asset Control is searching for a Software developer with a strong knowledge of Java and JavaScript to join our Front End team, who are responsible for creating and maintaining both desktop and web-based applications.</t>
  </si>
  <si>
    <t>https://www.jouwictvacature.nl/solliciteren?job=software-engineer-java-javascript-2</t>
  </si>
  <si>
    <t>Senior Machine Learning Developer | Java, Spring Boot, Hibernate, TensorFlow</t>
  </si>
  <si>
    <t>https://www.jouwictvacature.nl/solliciteren?job=senior-machine-learning-developer--java-spring-boot-hibernate-tensorfl</t>
  </si>
  <si>
    <t>Bgenius</t>
  </si>
  <si>
    <t xml:space="preserve">Wil jij werken aan de beste Online Marketing Software die er bestaat? Help jij ons om deze nog beter te maken? </t>
  </si>
  <si>
    <t>https://www.jouwictvacature.nl/solliciteren?job=software-developer-bij-bgenius-in-groningen</t>
  </si>
  <si>
    <t xml:space="preserve">Medior Java (Full Stack) Developer | iOS, PhoneGap, Objective-C, Swift </t>
  </si>
  <si>
    <t>https://www.jouwictvacature.nl/solliciteren?job=medior-java-full-stack-developer--ios-phonegap-objective-c-swift-bij-d-3</t>
  </si>
  <si>
    <t>Medior Java Developer bij Sofico</t>
  </si>
  <si>
    <t xml:space="preserve">Vind je het leuk om als Java developer voor de automotive-sector te werken? Kom dan werken bij Sofico! </t>
  </si>
  <si>
    <t>https://www.jouwictvacature.nl/solliciteren?job=medior-java-developer-bij-sofico-bij-sofico</t>
  </si>
  <si>
    <t>https://www.jouwictvacature.nl/solliciteren?job=medior-java-developer--spring-grails-wicket-javascript-scala-bij-dpa-g</t>
  </si>
  <si>
    <t>https://www.jouwictvacature.nl/solliciteren?job=medior-net-ontwikkelaar-bij-4dotnet</t>
  </si>
  <si>
    <t>Dit is je kans om je skills op alle fronten van softwareontwikkeling sterk te ontwikkelen! ORTEC is op zoek naar een junior software engineer die bij gaat dragen aan de verbetering van ons Workforce Scheduling product. Geef jij en kickstart aan je (internationale) carrière?</t>
  </si>
  <si>
    <t>https://www.jouwictvacature.nl/solliciteren?job=junior-software-ontwikkelaar-bij-ortec</t>
  </si>
  <si>
    <t>Betabit zoekt een .NET Developer voor de Regio Eindhoven die persoonlijk een stap omhoog wil.</t>
  </si>
  <si>
    <t>https://www.jouwictvacature.nl/solliciteren?job=medior-softwareontwikkelaar-bij-betabit-regio-eindhoven</t>
  </si>
  <si>
    <t>Ecare</t>
  </si>
  <si>
    <t xml:space="preserve">Heb jij passie voor het ontwikkelen van mooie ICT-oplossingen, en ben jij ook leergierig, klantgericht, daadkrachtig en positief ingesteld? Dan hebben wij de ideale baan voor jou! Het zou namelijk geweldig zijn als jij samen met onze collega’s in het ontwikkelteam verder bouwt aan innovatieve softwareoplossingen. </t>
  </si>
  <si>
    <t>https://www.jouwictvacature.nl/solliciteren?job=software-engineer-integratie</t>
  </si>
  <si>
    <t>Junior/Medior/Senior C#.NET Engineer met affiniteit voor C++</t>
  </si>
  <si>
    <t>https://www.jouwictvacature.nl/solliciteren?job=juniormediorsenior-cnet-engineer-met-affiniteit-voor-c</t>
  </si>
  <si>
    <t>Magento Developer bij Muntz</t>
  </si>
  <si>
    <t>Ben je op zoek naar een baan waarin je mee kunt denken en werken aan uitdagende projecten? Muntz biedt jou de kans om te werken met de nieuwste en meest geavanceerde technieken, zodat jij je talent zo goed mogelijk kunt benutten!</t>
  </si>
  <si>
    <t>https://www.jouwictvacature.nl/solliciteren?job=magento-developer-bij-muntz</t>
  </si>
  <si>
    <t xml:space="preserve">Junior Laravel DEVELOPER   </t>
  </si>
  <si>
    <t>https://www.jouwictvacature.nl/solliciteren?job=junior-laravel-developer-bij-aan-zee-communicatie</t>
  </si>
  <si>
    <t>csorba media</t>
  </si>
  <si>
    <t>LEIDEN</t>
  </si>
  <si>
    <t>Medior Webdeveloper | HTML, CSS,  jQuery, PHP, OOP, MySQL, WordPress</t>
  </si>
  <si>
    <t>Ben jij webdeveloper geworden omdat je oprecht blij wordt van de mogelijkheden van internet? Kun je blind je weg vinden in HTML, CSS en jQuery? Ben je daarnaast in staat analytisch te denken, ben je niet op je mondje gevallen en heb je ook nog gevoel voor humor? Bij Csorba Media kun je in een toffe sfeer met een klein team aan mooie oplossingen werken. Iets voor jou?</t>
  </si>
  <si>
    <t>https://www.jouwictvacature.nl/solliciteren?job=medior-webdeveloper--html-css-jquery-php-oop-mysql-wordpress</t>
  </si>
  <si>
    <t>E-commerce Developer</t>
  </si>
  <si>
    <t xml:space="preserve">Bij Netvlies krijg je volop ruimte voor nieuwe initiatieven en ideeën die we op de markt kunnen verkopen en je krijgt alle ruimte om je rol naar eigen inzicht in te vullen. Je ontwikkelt oplossingen binnen onze E-commerce afdeling waar we werken aan dynamische en flexibele webshops met koppelingen en integraties met bijvoorbeeld een PIM, ERP en/of CRM systeem._x000D_
_x000D_
</t>
  </si>
  <si>
    <t>https://www.jouwictvacature.nl/solliciteren?job=e-commerce-developer</t>
  </si>
  <si>
    <t>Junior back-end developer</t>
  </si>
  <si>
    <t>https://www.jouwictvacature.nl/solliciteren?job=junior-back-end-developer-bij-23g</t>
  </si>
  <si>
    <t>Wind Internet</t>
  </si>
  <si>
    <t>LEEUWARDEN</t>
  </si>
  <si>
    <t>PHP developer met belangstelling voor CMS-en</t>
  </si>
  <si>
    <t>Ter versterking van onze ontwikkelafdeling zijn wij op zoek naar een PHP programmeur.</t>
  </si>
  <si>
    <t>https://www.jouwictvacature.nl/solliciteren?job=gedreven-php-developer-met-typo-3-kennis-2</t>
  </si>
  <si>
    <t xml:space="preserve">Junior PHP Wordpress developer  </t>
  </si>
  <si>
    <t>Ben jij onze Junior PHP Wordpress developer?</t>
  </si>
  <si>
    <t>https://www.jouwictvacature.nl/solliciteren?job=junior-php-wordpress-developer-bij-bureau-vet</t>
  </si>
  <si>
    <t>Telserv</t>
  </si>
  <si>
    <t xml:space="preserve">Senior Full Stack Ontwikkelaar bij Telserv  </t>
  </si>
  <si>
    <t>Als Telserv zijn wij continu bezig om het niveau van onze service en de kwaliteit van onze dienstverlening naar een nog hoger plan te brengen. Daarom zijn wij voor onze afdeling Development op zoek naar een Full Stack Developer.</t>
  </si>
  <si>
    <t>https://www.jouwictvacature.nl/solliciteren?job=senior-full-stack-ontwikkelaar-bij-telserv-bij-telserv</t>
  </si>
  <si>
    <t>Jij gaat als Medior Backend Developer een belangrijke rol spelen (en veel leren!) binnen een ervaren en gemotiveerd team. Je werkzaamheden zullen vooral bestaan uit het bouwen van nieuwe toffe features en het realiseren van de nieuwe fase van ons platform.</t>
  </si>
  <si>
    <t>https://www.jouwictvacature.nl/solliciteren?job=medior-backend-javascript-developer-bij-tradecast</t>
  </si>
  <si>
    <t>https://www.jouwictvacature.nl/solliciteren?job=medior-javascript-developer-bij-we4sea</t>
  </si>
  <si>
    <t>Talmark / CONCEPTS2GO</t>
  </si>
  <si>
    <t>Als front-end developer ben je eigenlijk een alleskunner. Jouw werk is de schakel tussen het beeldscherm en de eindgebruiker. Je weet webdesigns verder door te vertalen en om te zetten in slimme responsive web templates. Animaties en effecten transformeer jij in CSS en script. En je weet het ook nog allemaal SEO-vriendelijk te houden. Als dit jouw wereld is dan zijn wij op zoek naar jou!</t>
  </si>
  <si>
    <t>https://www.jouwictvacature.nl/solliciteren?job=medior-front-end-developer-bij-talmark</t>
  </si>
  <si>
    <t>AppMachine</t>
  </si>
  <si>
    <t>Ben jij een enthousiaste, ambitieuze developer met ruime ervaring?</t>
  </si>
  <si>
    <t>https://www.jouwictvacature.nl/solliciteren?job=javascript-developer-bij-appmachine-</t>
  </si>
  <si>
    <t>https://www.jouwictvacature.nl/solliciteren?job=medior-fullstack-developer-bij-nobears</t>
  </si>
  <si>
    <t xml:space="preserve">Word jij onze nieuwe medior Front-end development hero?   </t>
  </si>
  <si>
    <t>https://www.jouwictvacature.nl/solliciteren?job=word-jij-onze-nieuwe-senior-front-end-development-hero-</t>
  </si>
  <si>
    <t>Bigbridge</t>
  </si>
  <si>
    <t xml:space="preserve">Senior Front-end ontwikkelaar bij BigBridge </t>
  </si>
  <si>
    <t xml:space="preserve">Omdat wij groeien zijn wij per direct opzoek naar een front-end developer die het tof vindt te werken voor succesvolle spelers in de markt. Met jouw jouw technische kennis, enthousiasme en passie voor e-commerce werk je aan uitdagende oplossingen en til je de webshops van onze klanten naar een nog hoger niveau. </t>
  </si>
  <si>
    <t>https://www.jouwictvacature.nl/solliciteren?job=senior-front-end-ontwikkelaar-bij-bigbridge</t>
  </si>
  <si>
    <t>Alvant</t>
  </si>
  <si>
    <t>RIJSWIJK</t>
  </si>
  <si>
    <t xml:space="preserve">Ben jij een Java Programmeur met minimaal 1,5 tot 2 jaar ervaring? En leergierig en toe aan een nieuwe uitdaging? Leergierig om alles van je collega’s te leren en de ambitie om de beste te worden?_x000D_
_x000D_
</t>
  </si>
  <si>
    <t>https://www.jouwictvacature.nl/solliciteren?job=junior-java-developer-</t>
  </si>
  <si>
    <t>Medior Java Developer bij Meddex</t>
  </si>
  <si>
    <t>Trek jij ons Development Team op een hoger niveau en weet jij mensen te motiveren tot goede samenwerking en eigenaarschap van het totaalproduct?</t>
  </si>
  <si>
    <t>https://www.jouwictvacature.nl/solliciteren?job=medior-java-developer-bij-meddex-bij-meddex</t>
  </si>
  <si>
    <t>https://www.jouwictvacature.nl/solliciteren?job=senior-java-full-stack-developer-bij-dpa-geos-bij-dpa-2</t>
  </si>
  <si>
    <t>https://www.jouwictvacature.nl/solliciteren?job=medior-java-full-stack-developer-bij-dpa-geos-bij-dpa</t>
  </si>
  <si>
    <t>https://www.jouwictvacature.nl/solliciteren?job=senior-java-full-stack-developer-bij-dpa-geos-bij-dpa-3</t>
  </si>
  <si>
    <t>Rivium Business Solutions</t>
  </si>
  <si>
    <t xml:space="preserve">Senior Java developer | Spring, Hibernate, GWT, Maven, Ant, Jboss, IBM WebSphere </t>
  </si>
  <si>
    <t xml:space="preserve">Dagelijks werken aan al je skills om de top in Java ontwikkeling te bereiken.  Sta aan de basis van technische vernieuwing en ontwikkel mee aan nieuwe ICT toepassingen. Je wordt een speler in een projectteam waar nieuwe technologieën toegepast worden om bedrijven een voorsprong in de markt te bezorgen.    </t>
  </si>
  <si>
    <t>https://www.jouwictvacature.nl/solliciteren?job=junior-java-developer--spring-hibernate-gwt-maven-ant-jboss-ibm-websph</t>
  </si>
  <si>
    <t>https://www.jouwictvacature.nl/solliciteren?job=senior-feedback-engineer--exploratory-testing-context-driven-testing-b-5</t>
  </si>
  <si>
    <t xml:space="preserve">Medior Agile Test Specialist bij Bartosz </t>
  </si>
  <si>
    <t>https://www.jouwictvacature.nl/solliciteren?job=medior-agile-test-specialist-bij-bartosz-bij-bartosz-zwolle</t>
  </si>
  <si>
    <t>Senior Java Developer bij Bottomline</t>
  </si>
  <si>
    <t>https://www.jouwictvacature.nl/solliciteren?job=senior-java-developer-bij-bottomline-bij-bottomline</t>
  </si>
  <si>
    <t>Medior Microsoft SharePoint Specialist bij Sogeti in Vianen</t>
  </si>
  <si>
    <t>https://www.jouwictvacature.nl/solliciteren?job=microsoft-sharepoint-specialist-bij-sogeti-2</t>
  </si>
  <si>
    <t>Medior .Net Engineer bij Sogeti in Amersfoort</t>
  </si>
  <si>
    <t>https://www.jouwictvacature.nl/solliciteren?job=net-engineer-bij-sogeti-3</t>
  </si>
  <si>
    <t>Avans Hogeschool</t>
  </si>
  <si>
    <t>U heeft een voorbeeldfunctie en inspireert studenten van de opleiding Informatica in Breda. Van softwareontwikkeling wordt u enthousiast. U heeft ervaring opgedaan in de rol van systeemontwikkelaar en u kijkt ernaar uit deze kennis over te brengen op studenten. Lesgeven gaat u goed af. Ook de rol van begeleider is u op het lijf geschreven. U begeleidt studenten bij projecten binnen de opleiding en bij hun stage- en afstudeeropdrachten in het bedrijfsleven. U vindt het fijn dat studenten een beroep op u doen en dat u ze van advies kunt voorzien. Uw hart gaat sneller slaan van nieuwe technologieën. Daar bent u dan ook continu naar op zoek. Op basis van deze nieuwe technologieën ontwikkelt u onderwijsmateriaal. Ook onderhoudt u contacten met bedrijven en externe deskundigen. Hiermee houdt u het onderwijs up-to-date.</t>
  </si>
  <si>
    <t>https://www.jouwictvacature.nl/solliciteren?job=docent-informatica-bij-avans-hogeschool</t>
  </si>
  <si>
    <t>Medior .Net Engineer bij Sogeti in Vianen</t>
  </si>
  <si>
    <t>https://www.jouwictvacature.nl/solliciteren?job=net-engineer-bij-sogeti</t>
  </si>
  <si>
    <t>Senior .Net Engineer bij Sogeti in Amsterdam</t>
  </si>
  <si>
    <t>https://www.jouwictvacature.nl/solliciteren?job=senior-net-engineer-bij-sogeti-7</t>
  </si>
  <si>
    <t>Senior en/of Lead .NET Developer bij ICATT in hartje Amsterdam</t>
  </si>
  <si>
    <t>https://www.jouwictvacature.nl/solliciteren?job=senior-enof-lead-net-developer-bij-icatt-in-hartje-amsterdam</t>
  </si>
  <si>
    <t>RidderDataSystems</t>
  </si>
  <si>
    <t>HARDERWIJK</t>
  </si>
  <si>
    <t>.NET Customizing Engineer</t>
  </si>
  <si>
    <t xml:space="preserve">Als .NET Customizing Engineer weet je specifieke klantwensen vorm te geven in ons eigen ontwikkelde ERP systeem Ridder iQ. </t>
  </si>
  <si>
    <t>https://www.jouwictvacature.nl/solliciteren?job=net-customizing-engineer</t>
  </si>
  <si>
    <t>Senior .NET Developer bij Packs</t>
  </si>
  <si>
    <t>https://www.jouwictvacature.nl/solliciteren?job=senior-net-developer-bij-packs</t>
  </si>
  <si>
    <t xml:space="preserve">.NET Developer bij CE FinTech B.V. </t>
  </si>
  <si>
    <t>Droom jij in .NET en ben je klaar voor een nieuwe uitdaging? Bij CE FinTech B.V.  krijg je de kans om de meest innovatieve software te ontwikkelen, op basis van state-of-the-art architectuur! Ben je naast een echte .NET-topper ook nog eens klantgericht en leergierig? Dan zijn we zeker op zoek naar jou!</t>
  </si>
  <si>
    <t>https://www.jouwictvacature.nl/solliciteren?job=net-developer-bij-ce-fintech-bv-</t>
  </si>
  <si>
    <t>Gedreven medior PHP developer</t>
  </si>
  <si>
    <t>Ter versterking van onze ontwikkelafdeling zijn wij op zoek naar een ervaren PHP programmeur.” vervangen naar “Ter versterking van onze ontwikkelafdeling zijn wij op zoek naar een PHP programmeur.</t>
  </si>
  <si>
    <t>https://www.jouwictvacature.nl/solliciteren?job=gedreven-php-developer-met-typo-3-kennis</t>
  </si>
  <si>
    <t>Divtag</t>
  </si>
  <si>
    <t>Als backend ontwikkelaar krijg je een belangrijke rol binnen het development team. De zeer gevarieerde opdrachten die we binnen krijgen zorgen voor een diversiteit aan persoonlijke groei. Voor deze functie is het van belang dat je reeds bekend met zaken zoals GIT, Laravel (en/of) andere PHP Frameworks. Daarnaast heb je basiskennis van web security en ben je een beetje bekend met scrum. Verder ben je sociaal, competitief en leergierig.</t>
  </si>
  <si>
    <t>https://www.jouwictvacature.nl/solliciteren?job=medior-php-developer-bij-divtag</t>
  </si>
  <si>
    <t>Cepo</t>
  </si>
  <si>
    <t xml:space="preserve">Senior Laravel PHP developer  </t>
  </si>
  <si>
    <t xml:space="preserve">Kom jij ons team versterken? </t>
  </si>
  <si>
    <t>https://www.jouwictvacature.nl/solliciteren?job=senior-laravel-php-developer-bij-cepo</t>
  </si>
  <si>
    <t>Persistence</t>
  </si>
  <si>
    <t>Enthousiaste Symfony developer (senior)</t>
  </si>
  <si>
    <t>Technisch uitdagende opdrachten die er maatschappelijk toe doen.  Wij zoeken een gedreven back-end developer die het verschil maakt.</t>
  </si>
  <si>
    <t>https://www.jouwictvacature.nl/solliciteren?job=gedreven-medior-backend-developer-2</t>
  </si>
  <si>
    <t>Lightspeed</t>
  </si>
  <si>
    <t xml:space="preserve">Junior PHP Developer bij Lightspeed </t>
  </si>
  <si>
    <t xml:space="preserve">If you believe that continuous integration, deploying your code multiple times a day to production is how modern code should be produced, if you are not scared about taking full responsibility for the solution you have built including testing and verifying your code in production, if you enjoy celebrating  your success with your team, then this position is for you._x000D_
_x000D_
 </t>
  </si>
  <si>
    <t>https://www.jouwictvacature.nl/solliciteren?job=juniorphp-developer-bij-lightspeed-bij-lightspeed</t>
  </si>
  <si>
    <t xml:space="preserve">Senior Webdeveloper | HTML, CSS,  jQuery, PHP, OOP, MySQL, WordPress </t>
  </si>
  <si>
    <t>https://www.jouwictvacature.nl/solliciteren?job=senior-webdeveloper--html-css-jquery-php-oop-mysql-wordpress-bij-csorb</t>
  </si>
  <si>
    <t xml:space="preserve">Senior Full Stack Developer bij Telserv </t>
  </si>
  <si>
    <t>https://www.jouwictvacature.nl/solliciteren?job=full-stack-developer-bij-telserv-</t>
  </si>
  <si>
    <t>https://www.jouwictvacature.nl/solliciteren?job=medior-fullstack-developer-bij-qualogy</t>
  </si>
  <si>
    <t>https://www.jouwictvacature.nl/solliciteren?job=senior-front-end-developer-10</t>
  </si>
  <si>
    <t>Junior Rich Media Developer</t>
  </si>
  <si>
    <t>https://www.jouwictvacature.nl/solliciteren?job=medior-rich-media-developer-bij-qban-2</t>
  </si>
  <si>
    <t>We’re looking for developers to strengthen our young team. As a front-end developer at AppMachine you would be working on our app designer software that allows clients to build their own apps. You’re up to date and curious about the latest technologies, trends and tools and have the ambition to contribute ideas on how to activate these tools.</t>
  </si>
  <si>
    <t>https://www.jouwictvacature.nl/solliciteren?job=front-end-developer-at-appmachine-</t>
  </si>
  <si>
    <t>CRV</t>
  </si>
  <si>
    <t>Front-end Developer bij CRV</t>
  </si>
  <si>
    <t xml:space="preserve">CRV is voor de afdeling Information Services op zoek naar Front-end Developers! </t>
  </si>
  <si>
    <t>https://www.jouwictvacature.nl/solliciteren?job=front-end-developer-bij-crv</t>
  </si>
  <si>
    <t xml:space="preserve">Medior Tester </t>
  </si>
  <si>
    <t>Wij zijn wegens de uitbreiding van onze activiteiten op zoek naar een enthousiaste tester bij de afdeling InfoSys.</t>
  </si>
  <si>
    <t>https://www.jouwictvacature.nl/solliciteren?job=medior-tester-bij-instituut-fysieke-veiligheid</t>
  </si>
  <si>
    <t>Ben jij een creatieve en enthousiaste Xamarin ontwikkelaar en zoek je een uitdagende functie in de omgeving van Den-Haag?</t>
  </si>
  <si>
    <t>https://www.jouwictvacature.nl/solliciteren?job=medior-xamarin-ontwikkelaar-bij-webbeat--2</t>
  </si>
  <si>
    <t>https://www.jouwictvacature.nl/solliciteren?job=medior-front-end-developer-19</t>
  </si>
  <si>
    <t>Senior Java Developer | Spring, Hibernate, Maven, Eclipse, JHipster, Tomcat, AngularJS, SOLID</t>
  </si>
  <si>
    <t>https://www.jouwictvacature.nl/solliciteren?job=senior-java-developer-bij-devoteam</t>
  </si>
  <si>
    <t>Lead Java Developer (Senior)</t>
  </si>
  <si>
    <t>Ben jij een senior Java Developer die op zoek is naar mooie, technische, innovatieve en hoogstaande opdrachten? Ben jij die frisse wind die over de afdeling waait en je collega’s hiermee naar een hoger level brengt?</t>
  </si>
  <si>
    <t>https://www.jouwictvacature.nl/solliciteren?job=lead-java-developer-senior</t>
  </si>
  <si>
    <t xml:space="preserve">Startende Agile Test Engineer bij Bartosz  </t>
  </si>
  <si>
    <t>https://www.jouwictvacature.nl/solliciteren?job=startende-agile-test-engineer-bij-bartosz-bij-bartosz-zwolle</t>
  </si>
  <si>
    <t>Medior Java Developer | Spring, Hibernate, Maven, Eclipse, JHipster, Tomcat, AngularJS, SOLID</t>
  </si>
  <si>
    <t>https://www.jouwictvacature.nl/solliciteren?job=medior-java-developer-bij-devoteam--2</t>
  </si>
  <si>
    <t>Medior Java Developer in automotive-sector | MS SQL, Oracle, JSP</t>
  </si>
  <si>
    <t>https://www.jouwictvacature.nl/solliciteren?job=medior-java-developer-in-automotive-sector--ms-sql-oracle-jsp</t>
  </si>
  <si>
    <t>Docent Cybersecurity bij de Hogeschool van Amsterdam</t>
  </si>
  <si>
    <t>Wil jij jouw kennis overdragen op de nieuwe generatie? De Hogeschool van Amsterdam (HvA) is voor de ICT-opleidingen op zoek naar een Docent Cybersecurity!</t>
  </si>
  <si>
    <t>https://www.jouwictvacature.nl/solliciteren?job=docent-cybersecurity-bij-de-hogeschool-van-amsterdam-bij-hogeschool-va</t>
  </si>
  <si>
    <t>Senior Java Developer in Utrecht | Spring, Boot, Reactor, Cloud</t>
  </si>
  <si>
    <t>https://www.jouwictvacature.nl/solliciteren?job=senior-java-developer-in-utrecht--spring-boot-reactor-cloud-bij-bottom</t>
  </si>
  <si>
    <t>Stageopdracht: OPEN.suite op SharePoint bij OPEN.satisfaction</t>
  </si>
  <si>
    <t xml:space="preserve">Wil jij de koppeling tussen onze producten en een ander DMS tot stand brengen tijdens je stage? </t>
  </si>
  <si>
    <t>https://www.jouwictvacature.nl/solliciteren?job=stageopdracht-opensuite-op-sharepoint-bij-opensatisfaction</t>
  </si>
  <si>
    <t>Senior Microsoft Sharepoint Specialist bij Sogeti in Amsterdam</t>
  </si>
  <si>
    <t>https://www.jouwictvacature.nl/solliciteren?job=medior-microsoft-sharepoint-specialist-bij-sogeti-6</t>
  </si>
  <si>
    <t>Young Professional Microsoft .Net bij Sogeti in Capelle</t>
  </si>
  <si>
    <t>Als Young Professional Microsoft .Net lever je bij onze klanten (top van het Nederlandse bedrijfsleven) een belangrijke bijdrage aan de technische realisatie van .Net software oplossingen. Jouw kennis van .Net ontwikkelen we graag verder!</t>
  </si>
  <si>
    <t>https://www.jouwictvacature.nl/solliciteren?job=young-professional-microsoft-net-bij-sogeti-6</t>
  </si>
  <si>
    <t>Operator bij Marketgraph voor in de mediabranche</t>
  </si>
  <si>
    <t>https://www.jouwictvacature.nl/solliciteren?job=operator-bij-marketgraph-voor-in-de-mediabranche</t>
  </si>
  <si>
    <t xml:space="preserve"> Back-end Wordpress Developer</t>
  </si>
  <si>
    <t>Als Wordpress developer heb je feeling voor design, maar onderscheid je je voornamelijk door je ervaring met het doorvertalen naar een oplossing van hoge kwaliteit. Continu streven naar verbetering in kwaliteit en onderhoudbaarheid is je motto, zowel bij kleine als grote projecten. Van marketing driven websites welke bijdragen aan doelstellingen van klanten wordt je enthousiast._x000D_
_x000D_
Je werkt in multidisciplinaire Agile teams aan het ontwikkelen websites voor onze klanten. Je werkt hierbij nauw samen met onze klanten (product owners), vormgevers, marketing &amp; business intelligence collega’ en font- en back-end developers.</t>
  </si>
  <si>
    <t>https://www.jouwictvacature.nl/solliciteren?job=-back-end-wordpress-developer</t>
  </si>
  <si>
    <t>Simian</t>
  </si>
  <si>
    <t>WESTERBROEK</t>
  </si>
  <si>
    <t>Medior PHP webdeveloper</t>
  </si>
  <si>
    <t>Heb jij grote kennis van PHP en MySQL en een hbo-diploma informatica op zak? Dan zijn wij op zoek naar jou! Kun jij een resellers webservice opzetten, de processen automatiseren en calculatiesystemen verbeteren en ben je ook nog seriefanaat? Dan ben jij die echte geek die wij zoeken!</t>
  </si>
  <si>
    <t>https://www.jouwictvacature.nl/solliciteren?job=junior-php-webdeveloper-4</t>
  </si>
  <si>
    <t xml:space="preserve">Medior Allround Developer  </t>
  </si>
  <si>
    <t>https://www.jouwictvacature.nl/solliciteren?job=medior-allround-developer-bij-asamco-bv</t>
  </si>
  <si>
    <t xml:space="preserve">Ervaren Medior wordpress developer gezocht </t>
  </si>
  <si>
    <t>https://www.jouwictvacature.nl/solliciteren?job=ervaren-medior-wordpress-developer-gezocht-bij-web-whales</t>
  </si>
  <si>
    <t>https://www.jouwictvacature.nl/solliciteren?job=junior-laravel-programmeur-bij-not-on-paper</t>
  </si>
  <si>
    <t>Front-end ontwikkelaar bij BigBridge</t>
  </si>
  <si>
    <t>Wij zijn opzoek naar een front-end developer die het tof vindt te werken aan mooie e-commerce trajecten. Wil je met jouw kennis bijdragen aan het online succes van onze klanten? Dus beschik je over uitgebreide kennis van (X)HTML, CSS, JavaScript en SASS? En zijn crossbrowser-testen en responsive design je tweede natuur? Dan horen wij graag van jou!</t>
  </si>
  <si>
    <t>https://www.jouwictvacature.nl/solliciteren?job=front-end-ontwikkelaar-bij-bigbridge</t>
  </si>
  <si>
    <t>https://www.jouwictvacature.nl/solliciteren?job=junior-front-end-developer-bij-hostnet</t>
  </si>
  <si>
    <t>https://www.jouwictvacature.nl/solliciteren?job=junior-allround-designer-bij-creabea</t>
  </si>
  <si>
    <t>https://www.jouwictvacature.nl/solliciteren?job=front-end-developer-bij-valueblue</t>
  </si>
  <si>
    <t>Stichting Codarts, Hogeschool voor de Kunsten</t>
  </si>
  <si>
    <t>ROTTERDAM, AMSTERDAM</t>
  </si>
  <si>
    <t>Codarts zoekt een talentvolle front-end developer in Amsterdam of Rotterdam!</t>
  </si>
  <si>
    <t>https://www.jouwictvacature.nl/solliciteren?job=medior-front-end-developer-bij-codarts-hogeschool-voor-de-kunsten-bij-</t>
  </si>
  <si>
    <t>https://www.jouwictvacature.nl/solliciteren?job=senior-fullstack-developer-bij-aan-zee-communicatie</t>
  </si>
  <si>
    <t>Pyton an Amadeus company</t>
  </si>
  <si>
    <t xml:space="preserve">Senior Full Stack Developer (focus on front-end)  </t>
  </si>
  <si>
    <t>As a software engineer, you will work on projects critical to Pyton’s needs.</t>
  </si>
  <si>
    <t>https://www.jouwictvacature.nl/solliciteren?job=senior-full-stack-focus-on-front-end-bij-pyton-an-amadeus-company</t>
  </si>
  <si>
    <t xml:space="preserve">Senior Full Stack Developer </t>
  </si>
  <si>
    <t>https://www.jouwictvacature.nl/solliciteren?job=senior-full-stack-developer-bij-maximumnl</t>
  </si>
  <si>
    <t>Wil jij als Software Manager aan de slag in een oude Utrechtse watertoren?</t>
  </si>
  <si>
    <t xml:space="preserve">Wij zoeken een echte 'intrapreneur' voor de sleutelpositie van Software Manager bij Bottomline! </t>
  </si>
  <si>
    <t>https://www.jouwictvacature.nl/solliciteren?job=wil-jij-als-software-manager-aan-de-slag-in-een-oude-utrechtse-waterto</t>
  </si>
  <si>
    <t>OCLC - HKA</t>
  </si>
  <si>
    <t>PATERSWOLDE</t>
  </si>
  <si>
    <t xml:space="preserve">Bij OCLC geloven we dat jij het beste werk van je leven doet als jij het best mogelijke leven lijdt._x000D_
_x000D_
We werken hard om technologie te bouwen dat vandaag de dag duizenden bibliotheken verbindt. We werken echter ook hard om er voor te zorgen dat een baan bij OCLC een rol speelt in een gebalanceerd leven en hier geen vervanging voor wordt._x000D_
</t>
  </si>
  <si>
    <t>https://www.jouwictvacature.nl/solliciteren?job=software-engineer-5</t>
  </si>
  <si>
    <t>Senior Full Stack Developer bij Het ConsultancyHuis</t>
  </si>
  <si>
    <t>Als Senior Full Stack developer aan de slag bij dé topwerkgever en topdienstverlener van Nederland?</t>
  </si>
  <si>
    <t>https://www.jouwictvacature.nl/solliciteren?job=senior-full-stack-developer-bij-het-consultancyhuis-bij-het-consultanc</t>
  </si>
  <si>
    <t>Senior Mendix developer met leidinggevende ambities</t>
  </si>
  <si>
    <t>Wij zijn op zoek naar een ervaren Mendix Developer die kan ontwikkelen, ontwerpen, designen, leidinggeven en ook zijn mede collega''begeleiden.</t>
  </si>
  <si>
    <t>https://www.jouwictvacature.nl/solliciteren?job=senior-mendix-developer-bij-fintech</t>
  </si>
  <si>
    <t>Senior Java Developer bij Sofico</t>
  </si>
  <si>
    <t>https://www.jouwictvacature.nl/solliciteren?job=senior-java-developer-bij-sofico-bij-sofico</t>
  </si>
  <si>
    <t>https://www.jouwictvacature.nl/solliciteren?job=medior-java-developer--hibernate-jpa-spring-mvc-oracle-bij-dpa-geos-4</t>
  </si>
  <si>
    <t>Utilize</t>
  </si>
  <si>
    <t>HILVERSUM</t>
  </si>
  <si>
    <t>Back-end: mooier, beter, sneller!</t>
  </si>
  <si>
    <t>Je gaat je bezighouden met het creëren en onderhouden van diverse webapplicaties, welke gebruikt worden door onze klanten en binnen de eigen organisatie. Je werkt bijvoorbeeld aan webportalen van klanten, nieuwe modules, koppelingen tussen en met applicaties van externe leveranciers en procesverbeteringen.</t>
  </si>
  <si>
    <t>https://www.jouwictvacature.nl/solliciteren?job=back-end-mooier-beter-sneller</t>
  </si>
  <si>
    <t>Wil jij werken aan complexe, innovatieve maatwerk projecten? Dit kan bij Bloennert. Wij werken voor gerenommeerde klanten en zijn qua projecten niet in één kader te plaatsen. Dit zorgt ervoor dat jouw baan afwisselend en altijd uitdagend is.</t>
  </si>
  <si>
    <t>https://www.jouwictvacature.nl/solliciteren?job=senior-net-developer-bij-bloemert-groep</t>
  </si>
  <si>
    <t>Betabit zoekt een .NET Developer voor de Regio Amsterdam die persoonlijk een stap omhoog wil.</t>
  </si>
  <si>
    <t>https://www.jouwictvacature.nl/solliciteren?job=medior-net-ontwikkelaar-bij-betabit-regio-amsterdam</t>
  </si>
  <si>
    <t>Je gaat werken bij een van de Mendix-teams van de Goudse ICT. Het team werkt volgens Agile/Scrum en is verantwoordelijk voor zowel de (door)ontwikkeling van applicaties als het beheer van de bestaande applicaties (DevOps). Mendix wordt ingezet voor het ontwikkelen van maatwerk applicaties. Daarbij worden proces ondersteunende applicaties gemaakt voor de eigen interne medewerkers en (web) applicaties voor de buitenwereld : werkgevers, werknemers, adviseurs, volmachten en consumenten.</t>
  </si>
  <si>
    <t>https://www.jouwictvacature.nl/solliciteren?job=mendix-developer</t>
  </si>
  <si>
    <t xml:space="preserve">Senior Javascript Developer   </t>
  </si>
  <si>
    <t>https://www.jouwictvacature.nl/solliciteren?job=senior-javascript-developer-bij-advitrae</t>
  </si>
  <si>
    <t>.Net Lead Engineer bij Sogeti in Vianen</t>
  </si>
  <si>
    <t>https://www.jouwictvacature.nl/solliciteren?job=senior-net-engineer-bij-sogeti-6</t>
  </si>
  <si>
    <t>BWaste International BV</t>
  </si>
  <si>
    <t>EEFDE</t>
  </si>
  <si>
    <t xml:space="preserve">Klaar voor een uitdagende functie bij een innovatief bedrijf? Heb je talent voor het ontwikkelen van software en wil je dit talent graag verder ontwikkelen? BWaste biedt jou de mogelijkheden om verantwoordelijkheid te nemen en de toekomst van het bedrijf vorm te geven. </t>
  </si>
  <si>
    <t>https://www.jouwictvacature.nl/solliciteren?job=backend-software-developer-bij-bwaste-international-bv-in-eefde</t>
  </si>
  <si>
    <t>Betabit zoekt een Microsoft .NET Lead Developer voor de regio Rotterdam die persoonlijk een stap omhoog wil.</t>
  </si>
  <si>
    <t>https://www.jouwictvacature.nl/solliciteren?job=microsoft-net-lead-developer-regio-rotterdam</t>
  </si>
  <si>
    <t xml:space="preserve">Ben jij toe aan een nieuwe stap in je carrière, en haal je energie uit klantcontact en goede resultaten? Bij Ridder krijg je de mogelijkheid om zowel zelfstandig als in teamverband te werken aan projecten voor bestaande en nieuwe klanten. Ben jij de professional die wij zoeken? </t>
  </si>
  <si>
    <t>https://www.jouwictvacature.nl/solliciteren?job=senior-accountmanager-erp-bij-ridder-data-systems</t>
  </si>
  <si>
    <t>Senior PHP Developer bij Lightspeed</t>
  </si>
  <si>
    <t>https://www.jouwictvacature.nl/solliciteren?job=senior-php-developer-bij-lightspeed</t>
  </si>
  <si>
    <t xml:space="preserve">Vacature Junior Zend Developer </t>
  </si>
  <si>
    <t>Ben jij op zoek naar een afwisselende en uitdagende baan? Een baan waarin je met anderen mooie oplossingen kunt realiseren? Wil jij zelf uitgedaagd worden om nieuwe dingen te leren? Dan maken wij graag kennis met jou!</t>
  </si>
  <si>
    <t>https://www.jouwictvacature.nl/solliciteren?job=gedreven-junior-zend-developer-bij-square</t>
  </si>
  <si>
    <t>ITCall</t>
  </si>
  <si>
    <t>BERKEL EN RODENRIJS</t>
  </si>
  <si>
    <t>Junior web developer</t>
  </si>
  <si>
    <t xml:space="preserve">ITcall is op zoek naar jou! </t>
  </si>
  <si>
    <t>https://www.jouwictvacature.nl/solliciteren?job=junior-web-developer-4</t>
  </si>
  <si>
    <t xml:space="preserve">Medior Laravel PHP developer </t>
  </si>
  <si>
    <t>https://www.jouwictvacature.nl/solliciteren?job=medior-laravel-php-developer-bij-cepo</t>
  </si>
  <si>
    <t>The Fuel Company</t>
  </si>
  <si>
    <t>MEER</t>
  </si>
  <si>
    <t>Web developer Junior</t>
  </si>
  <si>
    <t>Met het oog op verdere professionalisering en groei van onze organisatie zijn wij op zoek naar een PHP developer.</t>
  </si>
  <si>
    <t>https://www.jouwictvacature.nl/solliciteren?job=web-developer-junior-bij-the-fuel-company</t>
  </si>
  <si>
    <t>https://www.jouwictvacature.nl/solliciteren?job=junior-javascript-developer-3</t>
  </si>
  <si>
    <t>XL shop group BV</t>
  </si>
  <si>
    <t>HAARLEM</t>
  </si>
  <si>
    <t xml:space="preserve"> XL shop group BV</t>
  </si>
  <si>
    <t xml:space="preserve">Ben jij een PHP developer met minimaal 2-4 jaar full-time werkervaring, met een passie voor het web. Ben jij een teamplayer, niet bang om nieuwe dingen te leren en heb jij ervaring met Laravel 5? Dan zijn wij opzoek naar jou! </t>
  </si>
  <si>
    <t>https://www.jouwictvacature.nl/solliciteren?job=mediorphp-developer-bij-xl-shop-group-</t>
  </si>
  <si>
    <t>AppMachine is op zoek naar ervaren front-end developers</t>
  </si>
  <si>
    <t>https://www.jouwictvacature.nl/solliciteren?job=medior-front-end-developer-bij-appmachine-</t>
  </si>
  <si>
    <t>StackState</t>
  </si>
  <si>
    <t>Our team of talented, ambitious engineers work together to solve a variety of complex technical challenges others wouldn’t dare to try. There’s a sense that anything is possible at StackState, no matter what. If you can dream it, at StackState you can build it. Are you ready to join us on our journey?</t>
  </si>
  <si>
    <t>https://www.jouwictvacature.nl/solliciteren?job=senior-front-end-developer-bij-stackstate</t>
  </si>
  <si>
    <t>Onsweb</t>
  </si>
  <si>
    <t>PIJNACKER</t>
  </si>
  <si>
    <t>Junior Fullstack Developer met ervaring in NodeJS</t>
  </si>
  <si>
    <t>Werken bij Onsweb is leuk! We hebben zoveel interessante klanten van IKEA tot 10 nationale sportbonden, uitdagende projecten en bovendien nog veel ambities.</t>
  </si>
  <si>
    <t>https://www.jouwictvacature.nl/solliciteren?job=junior-fullstack-developer-bij-onsweb</t>
  </si>
  <si>
    <t>https://www.jouwictvacature.nl/solliciteren?job=front-end-developer-bij-codarts-hogeschool-voor-de-kunsten</t>
  </si>
  <si>
    <t>BKV Groep</t>
  </si>
  <si>
    <t>Medior Front-end Developer met ReactJS ervaring</t>
  </si>
  <si>
    <t>Front-end developer vacature binnen betrouwbare marktleider als werkgever. Veel technische kennis intern. Gezelligheid &amp; gedrevenheid gaan hier goed samen!</t>
  </si>
  <si>
    <t>https://www.jouwictvacature.nl/solliciteren?job=medior-front-end-developer-met-reactjs-ervaring-bij-bkv-groep</t>
  </si>
  <si>
    <t>Heb jij passie voor IT in combinatie met zorg? Wil jij het verschil maken in een branche die volop in beweging is en zeer maatschappelijk relevant is? Dan is dit dé uitdaging voor jou!</t>
  </si>
  <si>
    <t>https://www.jouwictvacature.nl/solliciteren?job=medior-front-end-developer-bij-ksyos-bij-ksyos</t>
  </si>
  <si>
    <t>Senior Software Engineer (focus on front-end)</t>
  </si>
  <si>
    <t>https://www.jouwictvacature.nl/solliciteren?job=senior-software-engineer-focus-on-front-end</t>
  </si>
  <si>
    <t>Junior Java Spring Developer</t>
  </si>
  <si>
    <t>https://www.jouwictvacature.nl/solliciteren?job=junior-java-spring-developer-bij-bottomline</t>
  </si>
  <si>
    <t>Senior Java (Full Stack) Developer | iOS, PhoneGap, Objective-C, Swift</t>
  </si>
  <si>
    <t>https://www.jouwictvacature.nl/solliciteren?job=senior-java-full-stack-developer--ios-phonegap-objective-c-swift-bij-d-2</t>
  </si>
  <si>
    <t>Medior Software Tester bij Volant Groep in Gouda</t>
  </si>
  <si>
    <t>Als Medior Software Tester een bijdrage leveren aan onze oplossingen voor de lokale overheid?</t>
  </si>
  <si>
    <t>https://www.jouwictvacature.nl/solliciteren?job=medior-software-tester-bij-volant-groep-in-gouda-bij-volant-groep</t>
  </si>
  <si>
    <t>Senior Java Backend Developer bij DPA GEOS</t>
  </si>
  <si>
    <t>https://www.jouwictvacature.nl/solliciteren?job=senior-java-backend-developer-bij-dpa-geos-bij-dpa-geos</t>
  </si>
  <si>
    <t>Starting Java Developer in Amsterdam | Spring, (No)SQL databases, Elasticsearch, Docker</t>
  </si>
  <si>
    <t>https://www.jouwictvacature.nl/solliciteren?job=starting-java-developer-in-amsterdam--spring-nosql-databases-elasticse</t>
  </si>
  <si>
    <t xml:space="preserve">Medior Java-developer | Spring, AngularJS, SOAP, Rest API, Jenkins </t>
  </si>
  <si>
    <t>https://www.jouwictvacature.nl/solliciteren?job=medior-java-developer--spring-angularjs-soap-rest-api-jenkins-bij-hybr</t>
  </si>
  <si>
    <t>Senior Developer in Utrecht | VB.NET, ASP.NET, Java Spring</t>
  </si>
  <si>
    <t>Zit je vol ambitie en wil je de mogelijkheid krijgen om met de nieuwste tools en technieken de beste software neer te zetten? Bottomline is op zoek naar een ervaren Java / VB.NET ontwikkelaar in de regio Utrecht die onze software met zijn/haar kennis naar een hoger niveau weet te tillen! Ben jij de expert die wij zoeken?</t>
  </si>
  <si>
    <t>https://www.jouwictvacature.nl/solliciteren?job=senior-developer-in-utrecht--vbnet-aspnet-java-spring-bij-bottomline</t>
  </si>
  <si>
    <t>Fullstack C# .NET Developer bij MWM2</t>
  </si>
  <si>
    <t>https://www.jouwictvacature.nl/solliciteren?job=fullstack-c-net-developer-bij-mwm2</t>
  </si>
  <si>
    <t>Searchdog</t>
  </si>
  <si>
    <t>Senior .NET Developer bij Searchdog (Inhouse)</t>
  </si>
  <si>
    <t>Wil jij werken aan een uitdagend en veelzijdig platform in de telecommunicatie branche? Dan is dit je kans om ons kleine en informele team te komen versterken. Je gaat je dan bezig houden met ontwikkeling van het platform en bepaalt mede de richting waarin het platform zich ontwikkelt.</t>
  </si>
  <si>
    <t>https://www.jouwictvacature.nl/solliciteren?job=senior-net-developer-bij-searchdog-inhouse</t>
  </si>
  <si>
    <t>https://www.jouwictvacature.nl/solliciteren?job=medior--senior-net-developer-op-projectbasis</t>
  </si>
  <si>
    <t>Zie jij uitdaging in het vertalen van klantwensen naar een creatieve en efficiënte inrichting in ons eigen ontwikkelde ERP systeem? Wil je daarnaast de ruimte krijgen om je zo breed mogelijk te ontwikkelen? Dan hebben we de ideale baan voor jou!</t>
  </si>
  <si>
    <t>https://www.jouwictvacature.nl/solliciteren?job=technisch-consultant-erp-bi-ridder-data-systems</t>
  </si>
  <si>
    <t xml:space="preserve">Ben jij diegene die onze klanten de juiste hulp kan bieden én heb je de ambitie om in korte tijd stappen te maken in je carrière? Solliciteer dan naar ons interne opleidingsprogramma._x000D_
Als Consultancy Trainee begin je je loopbaan bij onze Technical Support Afdeling. De Support afdeling is hét kenniscentrum binnen Ridder. Wil je onze klanten, de branche en onze software goed te leren kennen dan de Support afdeling het ideale vertrekpunt voor een Consultant in opleiding. </t>
  </si>
  <si>
    <t>https://www.jouwictvacature.nl/solliciteren?job=vacature-consultancy-trainee-erp</t>
  </si>
  <si>
    <t>https://www.jouwictvacature.nl/solliciteren?job=senior-net-ontwikkelaar-bij-betabit-regio-utrecht</t>
  </si>
  <si>
    <t>C++ Developer bij Marketgraph | C++, OpenGL, 3D Programmeren</t>
  </si>
  <si>
    <t>https://www.jouwictvacature.nl/solliciteren?job=senior-cnet-developer-bij-marketgraph-2</t>
  </si>
  <si>
    <t xml:space="preserve">Medior Laravel back-end developer  </t>
  </si>
  <si>
    <t>https://www.jouwictvacature.nl/solliciteren?job=medior-laravel-back-end-developer-bij-23g</t>
  </si>
  <si>
    <t>https://www.jouwictvacature.nl/solliciteren?job=senior-laravel-php-developer-bij-divtag</t>
  </si>
  <si>
    <t xml:space="preserve">Medior PHP Back End Developer  </t>
  </si>
  <si>
    <t>https://www.jouwictvacature.nl/solliciteren?job=medior-php-back-end-developer-bij-i3dnet</t>
  </si>
  <si>
    <t xml:space="preserve">Medior Full Stack Developer bij Telserv  </t>
  </si>
  <si>
    <t>https://www.jouwictvacature.nl/solliciteren?job=full-stack-developer-bij-telserv--2</t>
  </si>
  <si>
    <t>Magneds</t>
  </si>
  <si>
    <t>Word jij onze nieuwe collega?</t>
  </si>
  <si>
    <t>https://www.jouwictvacature.nl/solliciteren?job=senior-back-end-developer-bij-magneds</t>
  </si>
  <si>
    <t>Medior technische Front-end Developer</t>
  </si>
  <si>
    <t>https://www.jouwictvacature.nl/solliciteren?job=medior-technische-front-end-developer-bij-not-on-paper</t>
  </si>
  <si>
    <t xml:space="preserve">Medior Front-end ontwikkelaar bij BigBridge </t>
  </si>
  <si>
    <t>https://www.jouwictvacature.nl/solliciteren?job=medior-front-end-ontwikkelaar-bij-bigbridge</t>
  </si>
  <si>
    <t>https://www.jouwictvacature.nl/solliciteren?job=front-end-developer-bij-ksyos</t>
  </si>
  <si>
    <t>SuperBuddy</t>
  </si>
  <si>
    <t>What we need is a developer who can work on our projects and professionalise the Way of Working. I think that mostly speaks for itself, right? You’ll be leading and working with &amp; alongside our small team of currently five other developers.</t>
  </si>
  <si>
    <t>https://www.jouwictvacature.nl/solliciteren?job=medior-back-end-developer-superbuddy-mean-stack-2</t>
  </si>
  <si>
    <t>https://www.jouwictvacature.nl/solliciteren?job=senior-javascript-developer-bij-coas</t>
  </si>
  <si>
    <t>Funatic</t>
  </si>
  <si>
    <t>WADDINXVEEN</t>
  </si>
  <si>
    <t>Junior Fullstack Developer met Focus op Front-end</t>
  </si>
  <si>
    <t>Wij zijn succesvol en groeien flink, daarom willen wij ons hechte team uitbreiden en zijn wij op zoek naar jou!</t>
  </si>
  <si>
    <t>https://www.jouwictvacature.nl/solliciteren?job=junior-fullstack-developer-met-focus-op-front-end-bij-funatic</t>
  </si>
  <si>
    <t>Duracom</t>
  </si>
  <si>
    <t>DRACHTEN</t>
  </si>
  <si>
    <t xml:space="preserve">Enthousiaste, ervaren Front-end designer </t>
  </si>
  <si>
    <t xml:space="preserve">Ben jij die enthousiaste Front-end developer die wil meegroeien met ons bedrijf? </t>
  </si>
  <si>
    <t>https://www.jouwictvacature.nl/solliciteren?job=enthousiaste-ervaren-front-end-designer</t>
  </si>
  <si>
    <t>CODEZILLA</t>
  </si>
  <si>
    <t>'Create wih the heart - build with the mind!' - Criss Jami</t>
  </si>
  <si>
    <t>https://www.jouwictvacature.nl/solliciteren?job=front-end-developer-bij-codezilla</t>
  </si>
  <si>
    <t>Junior Machine Learning Developer | Java, Spring Boot, Hibernate, TensorFlow</t>
  </si>
  <si>
    <t>https://www.jouwictvacature.nl/solliciteren?job=junior-machine-learning-developer--java-spring-boot-hibernate-tensorfl</t>
  </si>
  <si>
    <t>Medior Software Engineer at Axual | Java, Scala, Apache Kafka, Spring</t>
  </si>
  <si>
    <t>https://www.jouwictvacature.nl/solliciteren?job=medior-software-engineer-at-axual--java-scala-apache-kafka-spring-bij-</t>
  </si>
  <si>
    <t xml:space="preserve">Junior Software Developer | Delphi, C++, C#, Java, Firebird, SQL, Interbase </t>
  </si>
  <si>
    <t>https://www.jouwictvacature.nl/solliciteren?job=junior-software-developer--delphi-c-c-java-firebird-sql-interbase-bij-</t>
  </si>
  <si>
    <t xml:space="preserve">Senior Mobile Developer | iOs, Android, PhoneGap, Objective-C, Java, Swift </t>
  </si>
  <si>
    <t>https://www.jouwictvacature.nl/solliciteren?job=senior-mobile-developer--ios-android-phonegap-objective-c-java-swift-b-3</t>
  </si>
  <si>
    <t>https://www.jouwictvacature.nl/solliciteren?job=startende-agile-test-engineer-bij-bartosz-bij-bartosz-arnhem</t>
  </si>
  <si>
    <t>Software Manager bij Bottomline in Utrecht</t>
  </si>
  <si>
    <t>https://www.jouwictvacature.nl/solliciteren?job=software-manager-bij-bottomline-in-utrecht</t>
  </si>
  <si>
    <t>.Net Lead Engineer bij Sogeti in Capelle aan den IJssel</t>
  </si>
  <si>
    <t>https://www.jouwictvacature.nl/solliciteren?job=senior-net-engineer-bij-sogeti-4</t>
  </si>
  <si>
    <t xml:space="preserve">Medior Javascript Developer  </t>
  </si>
  <si>
    <t>https://www.jouwictvacature.nl/solliciteren?job=medior-javascript-developer-bij-advitrae</t>
  </si>
  <si>
    <t>Backend developer C# /ASP.NET</t>
  </si>
  <si>
    <t>https://www.jouwictvacature.nl/solliciteren?job=backend-developer-c-aspnet</t>
  </si>
  <si>
    <t>Senior .NET Engineer bij Sogeti in Eindhoven</t>
  </si>
  <si>
    <t>In de functie van .NET Engineer werk je zowel in de detachering als op projectbasis. Je werkgebied omvat heel Nederland.</t>
  </si>
  <si>
    <t>https://www.jouwictvacature.nl/solliciteren?job=medior-net-engineer-bij-sogeti-2</t>
  </si>
  <si>
    <t>Technical Lead .NET bij ICATT | Inhouse | Mogelijkheid tot parttime | Opleidingsbudget</t>
  </si>
  <si>
    <t>https://www.jouwictvacature.nl/solliciteren?job=technical-lead-net-bij-icatt--inhouse--mogelijkheid-tot-parttime--ople</t>
  </si>
  <si>
    <t>Uselab</t>
  </si>
  <si>
    <t>PHP Webdeveloper bij Uselab</t>
  </si>
  <si>
    <t>Wil jij verantwoordelijk zijn voor het bedenken en realiseren van technische oplossingen voor één van de leukste bureau's in Amsterdam?</t>
  </si>
  <si>
    <t>https://www.jouwictvacature.nl/solliciteren?job=php-webdeveloper-bij-uselab</t>
  </si>
  <si>
    <t>Full-Stack Developer bij Sumedia</t>
  </si>
  <si>
    <t>https://www.jouwictvacature.nl/solliciteren?job=full-stack-developer-bij-sumedia</t>
  </si>
  <si>
    <t>Cliq ID</t>
  </si>
  <si>
    <t>WIJHE</t>
  </si>
  <si>
    <t>Full Stack Developer</t>
  </si>
  <si>
    <t>Wij zijn op zoek naar een ervaren Full Stack developer. Je zult gaan werken binnen een team van front-end developers en vormgevers. Jij zult de back-end van de websites en applicaties voor je rekening nemen. Hierin zal je contact hebben met de klant en meedenken over de beste aanpak van de projecten.</t>
  </si>
  <si>
    <t>https://www.jouwictvacature.nl/solliciteren?job=full-stack-developer-10</t>
  </si>
  <si>
    <t>Unifact</t>
  </si>
  <si>
    <t>HEERDE</t>
  </si>
  <si>
    <t>Full Stack PHP-programmeur</t>
  </si>
  <si>
    <t>Binnen een informele werksfeer wordt dagelijks gewerkt aan diverse digitale oplossingen voor onze klanten</t>
  </si>
  <si>
    <t>https://www.jouwictvacature.nl/solliciteren?job=full-stack-php-programmeur</t>
  </si>
  <si>
    <t>PHP Developer</t>
  </si>
  <si>
    <t>https://www.jouwictvacature.nl/solliciteren?job=php-developer-15</t>
  </si>
  <si>
    <t>Medior NodeJS Developer</t>
  </si>
  <si>
    <t>https://www.jouwictvacature.nl/solliciteren?job=medior-nodejs-developer-bij-onsweb</t>
  </si>
  <si>
    <t>Medior Javascript Developer</t>
  </si>
  <si>
    <t>https://www.jouwictvacature.nl/solliciteren?job=mediorjavascript-developer-bij-oo-shopping</t>
  </si>
  <si>
    <t>https://www.jouwictvacature.nl/solliciteren?job=medior-javascript-developer-bij-mplus</t>
  </si>
  <si>
    <t>https://www.jouwictvacature.nl/solliciteren?job=senior-xamarin-ontwikkelaar-bij-webbeat-bij-webbeat</t>
  </si>
  <si>
    <t>Medior Java Developer gezocht voor in-house functie te Houten</t>
  </si>
  <si>
    <t>https://www.jouwictvacature.nl/solliciteren?job=medior-java-developer-gezocht-voor-in-house-functie-te-houten-bij-sofi</t>
  </si>
  <si>
    <t>Senior Java Ontwikkelaar | Spring, Hibernate, Maven,Internet of Things</t>
  </si>
  <si>
    <t>Consultant/ontwikkelaar met ervaring in JEE-omgevingen. Combineert een oprechte passie voor techniek met kennis van Java, XML en SOA. Kom bij Qualogy en bepaal mede onze strategische Java-richting.</t>
  </si>
  <si>
    <t>https://www.jouwictvacature.nl/solliciteren?job=senior-java-ontwikkelaar</t>
  </si>
  <si>
    <t xml:space="preserve">Je gaat werken bij een van de Mendix-teams van de Goudse ICT. Het team werkt volgens Agile/Scrum en is verantwoordelijk voor zowel de (door)ontwikkeling van applicaties als het beheer van de bestaande applicaties (DevOps). Mendix wordt ingezet voor het ontwikkelen van maatwerk applicaties. Daarbij worden proces ondersteunende applicaties gemaakt voor de eigen interne medewerkers en (web) applicaties voor de buitenwereld : werkgevers, werknemers, adviseurs, volmachten en consumenten._x000D_
Om zover te komen ga je een traineeship in van 1 jaar, intern, bij De Goudse. </t>
  </si>
  <si>
    <t>https://www.jouwictvacature.nl/solliciteren?job=traineeship-mendix-developer-bij-de-goudse-verzekeringen-bij-de-goudse</t>
  </si>
  <si>
    <t>Medior Java (Full Stack) Developer | iOS, PhoneGap, Objective-C, Swift</t>
  </si>
  <si>
    <t>https://www.jouwictvacature.nl/solliciteren?job=medior-java-full-stack-developer--ios-phonegap-objective-c-swift-bij-d-2</t>
  </si>
  <si>
    <t>Medior Feedback Engineer | Exploratory Testing, Context Driven Testing, BDD, SbE, TDD</t>
  </si>
  <si>
    <t>https://www.jouwictvacature.nl/solliciteren?job=medior-feedback-engineer--exploratory-testing-context-driven-testing-b</t>
  </si>
  <si>
    <t>https://www.jouwictvacature.nl/solliciteren?job=senior-mobile-developer-bij-dpa-geos-bij-dpa-geos-3</t>
  </si>
  <si>
    <t>Junior Agile Test Specialist bij Bartosz</t>
  </si>
  <si>
    <t>https://www.jouwictvacature.nl/solliciteren?job=junior-agile-test-specialist-bij-bartosz</t>
  </si>
  <si>
    <t>Betabit zoekt een Microsoft .NET Lead Developer voor de regio Noord-Brabant die persoonlijk een stap omhoog wil.</t>
  </si>
  <si>
    <t>https://www.jouwictvacature.nl/solliciteren?job=microsoft-net-lead-developer-bij-betabit-regio-eindhoven</t>
  </si>
  <si>
    <t>eVerbinding</t>
  </si>
  <si>
    <t>WOERDEN</t>
  </si>
  <si>
    <t>Medior C# Developer bij eVerbinding in Woerden</t>
  </si>
  <si>
    <t xml:space="preserve">Ben jij een beginnende developer en ben je gewoon heel goed in wat je doet en wil je graag meer leren, kom dan samenwerken in ons team en help de wereld van eFacturatie verder te innoveren._x000D_
Je wordt begeleid door 2 senior developers. Dit is voor jou écht een unieke kans om veel te leren._x000D_
</t>
  </si>
  <si>
    <t>https://www.jouwictvacature.nl/solliciteren?job=medior-c-developer-bij-everbinding-in-woerden</t>
  </si>
  <si>
    <t xml:space="preserve">Junior Software Engineer  </t>
  </si>
  <si>
    <t>As a Junior Software Engineer at ORTEC you have the chance to work with new technologies and be part of the progress to shape and build the cloud based future of our products.</t>
  </si>
  <si>
    <t>https://www.jouwictvacature.nl/solliciteren?job=junior-software-engineer--3</t>
  </si>
  <si>
    <t>CJIB</t>
  </si>
  <si>
    <t>Java developer Leeuwarden</t>
  </si>
  <si>
    <t>Mooie oplossingen bieden waar de business veel voordeel van heeft en waardoor het Centraal Justitieel Incassobureau zijn taken nog beter kan uitvoeren of uitbreiden. Dat is ons doel. Als proactieve en gedreven Java-ontwikkelaar zorg jij voor applicaties van de grootste kwaliteit.</t>
  </si>
  <si>
    <t>https://www.jouwictvacature.nl/solliciteren?job=java-developer-leeuwarden</t>
  </si>
  <si>
    <t>https://www.jouwictvacature.nl/solliciteren?job=medior-feedback-engineer--exploratory-testing-context-driven-testing-b-6</t>
  </si>
  <si>
    <t>https://www.jouwictvacature.nl/solliciteren?job=senior-feedback-engineer-bij-bartosz-bij-bartosz-amsterdam</t>
  </si>
  <si>
    <t xml:space="preserve">Senior Java-developer | Spring, AngularJS, SOAP, Rest API, Jenkins </t>
  </si>
  <si>
    <t>Wil je graag je eigen, goed onderbouwde visie op software development uitbouwen? Heb je de ervaring of ben je er klaar voor om het voortouw te nemen in onze groep Javanen? En kijk je er naar uit om voor business managers te werken die alles snappen van de inhoud en besluiten nemen vanuit jouw vakgebied? HybrIT is precies de werkgever die je zoekt.</t>
  </si>
  <si>
    <t>https://www.jouwictvacature.nl/solliciteren?job=senior-java-developer--spring-angularjs-soap-rest-api-jenkins-bij-hybr-3</t>
  </si>
  <si>
    <t>Junior Java Developer in automotive-sector | MS SQL, Oracle, JSP</t>
  </si>
  <si>
    <t>https://www.jouwictvacature.nl/solliciteren?job=junior-java-developer-in-automotive-sector--ms-sql-oracle-jsp</t>
  </si>
  <si>
    <t>Senior Embedded Developer bij Dexels</t>
  </si>
  <si>
    <t>Wil jij graag een embedded ontwikkeltak opzetten? Kom werken bij Dexels!</t>
  </si>
  <si>
    <t>https://www.jouwictvacature.nl/solliciteren?job=senior-embedded-developer-bij-dexels-bij-dexels</t>
  </si>
  <si>
    <t xml:space="preserve">Medior Software Engineer (focus on front-end) </t>
  </si>
  <si>
    <t>https://www.jouwictvacature.nl/solliciteren?job=medior-software-engineer-focus-on-front-end-bij-pyton-an-amadeus-compa</t>
  </si>
  <si>
    <t>Junior/Medior/Senior Fullstack Developer</t>
  </si>
  <si>
    <t>https://www.jouwictvacature.nl/solliciteren?job=juniormediorsenior-fullstack-developer</t>
  </si>
  <si>
    <t>Junior C# Developer bij eVerbinding in Woerden</t>
  </si>
  <si>
    <t>https://www.jouwictvacature.nl/solliciteren?job=junior-c-developer-bij-everbinding-in-woerden</t>
  </si>
  <si>
    <t>Junior C# Developer met affiniteit voor Blockchain, Machine Learning en Security</t>
  </si>
  <si>
    <t>https://www.jouwictvacature.nl/solliciteren?job=junior-c-developer-met-affiniteit-voor-blockchain-machine-learning-en-</t>
  </si>
  <si>
    <t>Senior Microsoft SharePoint Specialist bij Sogeti in Amersfoort</t>
  </si>
  <si>
    <t>https://www.jouwictvacature.nl/solliciteren?job=medior-microsoft-sharepoint-specialist-bij-sogeti-5</t>
  </si>
  <si>
    <t>Functionele SharePoint Consultant</t>
  </si>
  <si>
    <t>https://www.jouwictvacature.nl/solliciteren?job=functionele-sharepoint-consultant</t>
  </si>
  <si>
    <t xml:space="preserve">Medior Back End Developer  </t>
  </si>
  <si>
    <t>https://www.jouwictvacature.nl/solliciteren?job=medior-back-end-developer-bij-i3dnet</t>
  </si>
  <si>
    <t>https://www.jouwictvacature.nl/solliciteren?job=junior-mendix-developer-bij-de-goudse</t>
  </si>
  <si>
    <t xml:space="preserve">Senior Agile Test Specialist bij Bartosz </t>
  </si>
  <si>
    <t>https://www.jouwictvacature.nl/solliciteren?job=senior-agile-test-specialist-bij-bartosz-bij-bartosz-amsterdam-2</t>
  </si>
  <si>
    <t>Senior Java Developer bij DPA GEOS</t>
  </si>
  <si>
    <t>https://www.jouwictvacature.nl/solliciteren?job=senior-java-developer-bij-dpa-geos-bij-dpa-geos-2</t>
  </si>
  <si>
    <t xml:space="preserve">Senior Testanalist bij Bartosz  </t>
  </si>
  <si>
    <t>https://www.jouwictvacature.nl/solliciteren?job=senior-testanalist-bij-bartosz-bij-bartosz-eindhoven-2</t>
  </si>
  <si>
    <t>onlineveilingmeester.nl</t>
  </si>
  <si>
    <t>Als developer binnen de OVM-Group ben je betrokken bij het ontwikkelen en onderhouden van de veilingplatformen Onlineveilingmeester.nl, Agribieden.nl en bijbehorende mobiele applicaties.</t>
  </si>
  <si>
    <t>https://www.jouwictvacature.nl/solliciteren?job=junior-java-en-webdeveloper</t>
  </si>
  <si>
    <t>Junior Java/Web Developer bij Sofico</t>
  </si>
  <si>
    <t>https://www.jouwictvacature.nl/solliciteren?job=junior-javaweb-developer-bij-sofico-bij-sofico</t>
  </si>
  <si>
    <t>https://www.jouwictvacature.nl/solliciteren?job=medior-net-developer--c-aspnet-mvc-angularjs-2</t>
  </si>
  <si>
    <t>Q-Free</t>
  </si>
  <si>
    <t>BEILEN</t>
  </si>
  <si>
    <t>Intrada Synergy Server is een schaalbaar, gedistribueerd en fouttolerant systeem dat hoge volumes aan transacties verwerkt ten einde voertuigen en kentekens te indentificeren. Het product maakt gebruik van het .NET framework en is geïmplementeerd in C#.</t>
  </si>
  <si>
    <t>https://www.jouwictvacature.nl/solliciteren?job=software-engineer-c-</t>
  </si>
  <si>
    <t>Ben jij een software architect die niet bang is om ongebaande paden te betreden? Vind je het leuk om voor verschillende opdrachtgevers te werken en voor hen goede architectuuroplossingen te bedenken? Heb je minimaal 5 jaar ervaring en wil je graag werken in een team waar iedereen leeft voor software? Dan hebben we bij Bloemert precies de baan die bij je past.</t>
  </si>
  <si>
    <t>https://www.jouwictvacature.nl/solliciteren?job=software-architect--net-azure-togaf-archimate</t>
  </si>
  <si>
    <t>Architect bij Rensa</t>
  </si>
  <si>
    <t>https://www.jouwictvacature.nl/solliciteren?job=architect-bij-rensa</t>
  </si>
  <si>
    <t>.Net Lead Engineer bij Sogeti in Amersfoort</t>
  </si>
  <si>
    <t>https://www.jouwictvacature.nl/solliciteren?job=senior-net-engineer-bij-sogeti-2</t>
  </si>
  <si>
    <t>Junior Developer .NET applicaties - Voor mooie klanten als De Efteling / NEMO / Bobbejaanland</t>
  </si>
  <si>
    <t>https://www.jouwictvacature.nl/solliciteren?job=medior-developer-net-applicaties-voor-mooie-klanten-als-de-efteling--n</t>
  </si>
  <si>
    <t>Rovict</t>
  </si>
  <si>
    <t>SOEST</t>
  </si>
  <si>
    <t>Ervaren .NET Developer bij Rovict | .NET Core, C#, AngularJS, Entity</t>
  </si>
  <si>
    <t>Ben je geïnteresseerd in technologie en onderwijs? Wil je graag software ontwikkelen voor onderwijsinstellingen én houd je ervan om dit gezamenlijk met je collega's op te pakken? Dan ben jij de ontwikkelaar die wij zoeken._x000D_
Om de professionalisering van de organisatie verder vorm te geven willen wij in contact komen met kandidaten (m/v) voor de functie van .NET Developer</t>
  </si>
  <si>
    <t>https://www.jouwictvacature.nl/solliciteren?job=ervaren-net-developer-bij-rovict--net-core-c-angularjs-entity</t>
  </si>
  <si>
    <t xml:space="preserve">Medior Full Stack Ontwikkelaar bij Telserv   </t>
  </si>
  <si>
    <t>https://www.jouwictvacature.nl/solliciteren?job=senior-full-stack-ontwikkelaar-bij-telserv-</t>
  </si>
  <si>
    <t>Web developer Medior</t>
  </si>
  <si>
    <t>https://www.jouwictvacature.nl/solliciteren?job=web-developer-medior-bij-the-fuel-company</t>
  </si>
  <si>
    <t xml:space="preserve">Junior Front-end Developer  </t>
  </si>
  <si>
    <t>https://www.jouwictvacature.nl/solliciteren?job=junior-front-end-developer-bij-maximumnl</t>
  </si>
  <si>
    <t xml:space="preserve">Medior Webdeveloper  </t>
  </si>
  <si>
    <t>Ter versterking van ons bedrijf zijn wij op zoek naar een enthousiaste collega in de functie van fulltime allround developer.</t>
  </si>
  <si>
    <t>https://www.jouwictvacature.nl/solliciteren?job=junior-webdeveloper-</t>
  </si>
  <si>
    <t xml:space="preserve">Ter versterking van ons bedrijf zijn wij op zoek naar een enthousiaste collega in de functie van fulltime allround developer. </t>
  </si>
  <si>
    <t>https://www.jouwictvacature.nl/solliciteren?job=junior-front-end-developer-angular-2-</t>
  </si>
  <si>
    <t>INDI</t>
  </si>
  <si>
    <t>LEEK</t>
  </si>
  <si>
    <t>Jij zorgt voor een uniek digitaal platform dat altijd klaar is voor de nieuwste ontwikkelingen.</t>
  </si>
  <si>
    <t>https://www.jouwictvacature.nl/solliciteren?job=technical-team-lead-bij-indi-in-leek-2</t>
  </si>
  <si>
    <t>Wij zoeken een full-stack developer! Je hebt de juiste technische skills en gevoel voor stijl waarmee je zorgt dat vorm en functie bij elkaar komen tijdens het ontwikkelen van sites of webapplicaties!</t>
  </si>
  <si>
    <t>https://www.jouwictvacature.nl/solliciteren?job=full-stack-developer-bij-creabea</t>
  </si>
  <si>
    <t>https://www.jouwictvacature.nl/solliciteren?job=medior-front-end-developer-bij-nobears</t>
  </si>
  <si>
    <t>Front-end Developer at BiZZdesign</t>
  </si>
  <si>
    <t xml:space="preserve">As BiZZdesign has grown a lot over the years, we are not a traditional company with outlined procedures. This means there are a lot of possibilities open to you. We are very open to your input on how we can become better in what we do and how we can improve the way we work. For now we are looking for highly motivated and skilled Front-end developers. </t>
  </si>
  <si>
    <t>https://www.jouwictvacature.nl/solliciteren?job=front-end-developer-at-bizzdesign</t>
  </si>
  <si>
    <t>Blue Carpet</t>
  </si>
  <si>
    <t>BAARN</t>
  </si>
  <si>
    <t>Front-end developer bij Blue Carpet</t>
  </si>
  <si>
    <t>Ben jij een front-end developer met kennis van React.js? Dan is Blue Carpet op zoek naar jou!</t>
  </si>
  <si>
    <t>https://www.jouwictvacature.nl/solliciteren?job=medior-front-end-developer-bij-blue-carpet</t>
  </si>
  <si>
    <t xml:space="preserve">Medior Front-end Developer met ReactJS ervaring </t>
  </si>
  <si>
    <t>https://www.jouwictvacature.nl/solliciteren?job=medior-front-end-developer-met-reactjs-ervaring-bij-oo-shopping</t>
  </si>
  <si>
    <t xml:space="preserve">Traineeship Agile Test Engineer bij Bartosz  </t>
  </si>
  <si>
    <t>https://www.jouwictvacature.nl/solliciteren?job=traineeship-agile-test-engineer-bij-bartosz-bij-bartosz-rotterdam</t>
  </si>
  <si>
    <t>GeoTax</t>
  </si>
  <si>
    <t>GELDERMALSEN</t>
  </si>
  <si>
    <t xml:space="preserve">Als senior software engineer bij Geotax ben je betrokken bij het gehele ontwikkelproces: analyse en ontwerp, bouw, testen, implementatie, documentatie, onderhoud en ondersteuning van de software. </t>
  </si>
  <si>
    <t>https://www.jouwictvacature.nl/solliciteren?job=doelgerichte-senior-software-engineer-bij-geotax-in-geldermalsen</t>
  </si>
  <si>
    <t xml:space="preserve">Medior Java (Full Stack) Developer bij DPA GEOS </t>
  </si>
  <si>
    <t>https://www.jouwictvacature.nl/solliciteren?job=medior-java-full-stack-developer-bij-dpa-geos-bij-dpa-3</t>
  </si>
  <si>
    <t>Junior Java developer bij Rivium</t>
  </si>
  <si>
    <t>https://www.jouwictvacature.nl/solliciteren?job=java-ontwikkelaar-bij-rivium</t>
  </si>
  <si>
    <t>Met slim ontwikkelen van webshop en applicaties zorg je voor lagere kosten, meer verkoop, maar vooral voor… een hogere klanttevredenheid.”</t>
  </si>
  <si>
    <t>https://www.jouwictvacature.nl/solliciteren?job=senior-back-end-developer-bij-indi-in-leek-2</t>
  </si>
  <si>
    <t xml:space="preserve">Junior Java Developer bij HybrIT! </t>
  </si>
  <si>
    <t>https://www.jouwictvacature.nl/solliciteren?job=junior-java-developer-bij-hybrit-2</t>
  </si>
  <si>
    <t>Junior Mobile Developer met interesse in IOT bij Dexels in Amsterdam</t>
  </si>
  <si>
    <t>Voor ons mobile ontwikkelteam zijn we op zoek naar een ontwikkelaar die kennis en kunde heeft van zowel Android, iOS als iPhone SDK. Ben jij diegene?</t>
  </si>
  <si>
    <t>https://www.jouwictvacature.nl/solliciteren?job=junior-mobile-developer-met-interesse-in-iot-bij-dexels-in-amsterdam</t>
  </si>
  <si>
    <t>Medior Machine Learning Developer at Trifork in Amsterdam</t>
  </si>
  <si>
    <t>https://www.jouwictvacature.nl/solliciteren?job=medior-machine-learning-developer-at-trifork-in-amsterdam-bij-trifork</t>
  </si>
  <si>
    <t>Junior/Medior/Senior C#.NET Engineer bij Marketgraph</t>
  </si>
  <si>
    <t>https://www.jouwictvacature.nl/solliciteren?job=juniormediorsenior-cnet-engineer-bij-marketgraph</t>
  </si>
  <si>
    <t xml:space="preserve">At Piccotello we are looking for a passionate .NET developer to join our team. </t>
  </si>
  <si>
    <t>https://www.jouwictvacature.nl/solliciteren?job=net-developer-piccotello</t>
  </si>
  <si>
    <t>Avans Hogeschool is per direct op zoek naar een Docent Business, IT &amp; Management.</t>
  </si>
  <si>
    <t>https://www.jouwictvacature.nl/solliciteren?job=docent-business-it-en-management-bij-avans-hogeschool</t>
  </si>
  <si>
    <t>.NET Developer</t>
  </si>
  <si>
    <t>https://www.jouwictvacature.nl/solliciteren?job=net-developer-4</t>
  </si>
  <si>
    <t>Ambiteuze (Junior+/Medior) .NET Developer met communicatieve skills</t>
  </si>
  <si>
    <t>https://www.jouwictvacature.nl/solliciteren?job=senior-net-developer--werken-voor-klanten-als-kpn-ns-sanoma-media-en-e</t>
  </si>
  <si>
    <t xml:space="preserve">Senior PHP Developer bij Muntz </t>
  </si>
  <si>
    <t>https://www.jouwictvacature.nl/solliciteren?job=medior-php-developer-bij-muntz</t>
  </si>
  <si>
    <t xml:space="preserve">Medior PHP Developer bij Lightspeed </t>
  </si>
  <si>
    <t>https://www.jouwictvacature.nl/solliciteren?job=mediorphp-developer-bij-lightspeed-bij-lightspeed</t>
  </si>
  <si>
    <t>PHP developer / fulltime</t>
  </si>
  <si>
    <t>Wij bieden een te gekke baan voor een enthousiaste, medior php-programmeur met een voorliefde voor e-commerce die ons gaat helpen met het ontwikkelen van diverse online projecten.</t>
  </si>
  <si>
    <t>https://www.jouwictvacature.nl/solliciteren?job=php-developer--fulltime</t>
  </si>
  <si>
    <t xml:space="preserve">Gedreven Senior PHP Developer met ervaring gezocht! </t>
  </si>
  <si>
    <t>https://www.jouwictvacature.nl/solliciteren?job=gedreven-senior-php-developer-met-ervaring-gezocht-bij-square</t>
  </si>
  <si>
    <t>https://www.jouwictvacature.nl/solliciteren?job=nodereact-developer-bij-ksyos</t>
  </si>
  <si>
    <t>Per direct zijn wij, Hulst Computer Systems B.V. opzoek naar een front-end developer!</t>
  </si>
  <si>
    <t>https://www.jouwictvacature.nl/solliciteren?job=front-end-developer-bij-hulst-computer-systems</t>
  </si>
  <si>
    <t>Medior front-end developer bij Blue Carpet</t>
  </si>
  <si>
    <t>https://www.jouwictvacature.nl/solliciteren?job=medior-front-end-developer-bij-blue-carpet-bij-blue-carpet</t>
  </si>
  <si>
    <t>https://www.jouwictvacature.nl/solliciteren?job=medior-front-end-developer-bij-bizzdesign-bij-bizzdesign</t>
  </si>
  <si>
    <t>Senior Fullstack Developer met ervaring in NodeJS</t>
  </si>
  <si>
    <t>https://www.jouwictvacature.nl/solliciteren?job=senior-fullstack-developer-bij-onsweb</t>
  </si>
  <si>
    <t>Senior Allround Campaign Developer</t>
  </si>
  <si>
    <t>Als Allround Campaign Developer werk je als digitale duizendpoot aan marketing campagnes binnen diverse Campagne Management Tools (o.a. Selligent Interactive Marketing).</t>
  </si>
  <si>
    <t>https://www.jouwictvacature.nl/solliciteren?job=senior-allround-campaign-developer-bij-yourzine</t>
  </si>
  <si>
    <t>https://www.jouwictvacature.nl/solliciteren?job=software-developer-bij-cgi-2</t>
  </si>
  <si>
    <t>Ervaren Front-end Developer</t>
  </si>
  <si>
    <t>Binnen de unit Integratie worden state-of-the-art applicatie integratie oplossingen ontworpen, ontwikkeld, getest en beheerd door Rivium TIBCO/Java specialisten voor diverse aansprekende Nederlandse Multinationals en (semi-) Overheidsorganisaties. Ter uitbreiding van deze unit zijn wij op zoek naar ervaren Front End Developer.</t>
  </si>
  <si>
    <t>https://www.jouwictvacature.nl/solliciteren?job=ervaren-front-end-developer-bij-rivium-business-solutions</t>
  </si>
  <si>
    <t>https://www.jouwictvacature.nl/solliciteren?job=junior-front-end-developer-bij-we4sea</t>
  </si>
  <si>
    <t xml:space="preserve">Junior Java Ontwikkelaar </t>
  </si>
  <si>
    <t xml:space="preserve">Gedreven starter in Java Development met een basis in Java. Kom bij Qualogy: alle ruimte voor jouw ontwikkelkansen bij een innovatieve topspeler in de markt. </t>
  </si>
  <si>
    <t>https://www.jouwictvacature.nl/solliciteren?job=junior-java-ontwikkelaar-2</t>
  </si>
  <si>
    <t>Medior Java Spring Developer</t>
  </si>
  <si>
    <t>https://www.jouwictvacature.nl/solliciteren?job=medior-java-spring-developer-bij-bottomline</t>
  </si>
  <si>
    <t>Senior Java developer bij de Volant Groep</t>
  </si>
  <si>
    <t>Als Senior Java-developer kun je overal aan de slag. Zou jij het liefst werken aan projecten met een publiek en maatschappelijk belang? En voel je je thuis in en ver doorontwikkelde Scrum-omgeving waar je met je team zelfstandig projecten op kunt pakken? Dan heeft Volant Groep precies de baan die bij jou past.</t>
  </si>
  <si>
    <t>https://www.jouwictvacature.nl/solliciteren?job=senior-java-developer-bij-de-volant-groep</t>
  </si>
  <si>
    <t>Junior Java Developer in Amsterdam | Spring, (No)SQL databases, Elasticsearch, Docker</t>
  </si>
  <si>
    <t>https://www.jouwictvacature.nl/solliciteren?job=junior-java-developer-in-amsterdam--spring-nosql-databases-elasticsear</t>
  </si>
  <si>
    <t>Developer Talent gezocht!</t>
  </si>
  <si>
    <t>Is software development jouw passie? HybrIT is op zoek naar Developer Talent!</t>
  </si>
  <si>
    <t>https://www.jouwictvacature.nl/solliciteren?job=developer-talent-gezocht</t>
  </si>
  <si>
    <t>Junior Java Developer bij Sofico</t>
  </si>
  <si>
    <t>https://www.jouwictvacature.nl/solliciteren?job=junior-java-developer-bij-sofico</t>
  </si>
  <si>
    <t xml:space="preserve">Senior Java Developer bij HybrIT! </t>
  </si>
  <si>
    <t>https://www.jouwictvacature.nl/solliciteren?job=senior-java-developer-bij-hybrit-2</t>
  </si>
  <si>
    <t>Je gaat werken bij een van de Mendix-teams van de Goudse ICT. Het team werkt volgens Agile/Scrum en is verantwoordelijk voor zowel de (door)ontwikkeling van applicaties als het beheer van de bestaande applicaties (DevOps). Mendix wordt ingezet voor het ontwikkelen van maatwerk applicaties. Daarbij worden procesondersteunende applicaties gemaakt voor de eigen interne medewerkers en (web) applicaties voor de buitenwereld : werkgevers, werknemers, tussenpersonen, volmachten en eindklanten.</t>
  </si>
  <si>
    <t>https://www.jouwictvacature.nl/solliciteren?job=senior-mendix-developer</t>
  </si>
  <si>
    <t>Medior Backend Java  Developer | Hibernate, JPA, Spring MVC, Oracle</t>
  </si>
  <si>
    <t>https://www.jouwictvacature.nl/solliciteren?job=medior-java-developer--hibernate-jpa-spring-mvc-oracle-bij-dpa-geos-2</t>
  </si>
  <si>
    <t>https://www.jouwictvacature.nl/solliciteren?job=architect-net-bij-4dotnet-2</t>
  </si>
  <si>
    <t>https://www.jouwictvacature.nl/solliciteren?job=senior-net-ontwikkelaar-bij-betabit-regio-utrechtamsterdam</t>
  </si>
  <si>
    <t>https://www.jouwictvacature.nl/solliciteren?job=medior--senior-net-developer-cnet-aspnet-mvc-azure</t>
  </si>
  <si>
    <t>Junior Front-end (Angular2) Developer</t>
  </si>
  <si>
    <t xml:space="preserve">We are looking for an adaptable and highly motivated and outcome-focused Front-end (Angular2) developer to strengthen our team. </t>
  </si>
  <si>
    <t>https://www.jouwictvacature.nl/solliciteren?job=junior-front-end-angular2-developer-bij-asamco-bv</t>
  </si>
  <si>
    <t>Betabit zoekt een .NET Developer voor de Regio Rotterdam die persoonlijk een stap omhoog wil.</t>
  </si>
  <si>
    <t>https://www.jouwictvacature.nl/solliciteren?job=junior-softwareontwikkelaar-bij-betabit-regio-rotterdam</t>
  </si>
  <si>
    <t xml:space="preserve">Technical Lead C#, ASP.NET MVC bij Paralax </t>
  </si>
  <si>
    <t>https://www.jouwictvacature.nl/solliciteren?job=technical-lead-c-aspnet-mvc-bij-paralax-</t>
  </si>
  <si>
    <t xml:space="preserve">PHP Web developer Medior </t>
  </si>
  <si>
    <t>https://www.jouwictvacature.nl/solliciteren?job=php-web-developer-medior-bij-the-fuel-company</t>
  </si>
  <si>
    <t xml:space="preserve">Medior PHP-PROGRAMMEUR </t>
  </si>
  <si>
    <t>https://www.jouwictvacature.nl/solliciteren?job=medior-php-programmeur-bij-hvmp-marketing--ernesto-</t>
  </si>
  <si>
    <t>Wil je jezelf bewijzen als web developer en de mogelijkheid krijgen om je kwaliteiten sterk te ontwikkelen? ITCall groeit razendsnel, en daarom zijn we per direct op zoek naar ambitieuze junior en medior web developers! Ben jij klaar voor een echte uitdaging waarin je zowel communicatief als vaktechnisch je steentje bij kunt dragen aan grote projecten? Dan zoeken we jou!</t>
  </si>
  <si>
    <t>Gedreven Back-end Developer</t>
  </si>
  <si>
    <t>https://www.jouwictvacature.nl/solliciteren?job=medior-back-end-developer-regio-groningen</t>
  </si>
  <si>
    <t>Deepdata</t>
  </si>
  <si>
    <t>IJSSELSTEIN</t>
  </si>
  <si>
    <t>Junior Back End Developer bij Deepdata</t>
  </si>
  <si>
    <t>Voor ons snel groeiend bedrijf zijn wij per direct opzoek naar een enthousiaste Junior web developer die samen met onze gedreven (lead) developers in teamverband en zelfstandig te werk gaat. Ervaring met PHP is essentieel. Waar nodig zullen we je vanzelfsprekend bijstaan met het verder thuis worden in onze systemen.</t>
  </si>
  <si>
    <t>https://www.jouwictvacature.nl/solliciteren?job=back-end-developer-bij-deepdata</t>
  </si>
  <si>
    <t>https://www.jouwictvacature.nl/solliciteren?job=junior-full-stack-developer-bij-creabea</t>
  </si>
  <si>
    <t>https://www.jouwictvacature.nl/solliciteren?job=senior-full-stack-developer-bij-member-get-member</t>
  </si>
  <si>
    <t>https://www.jouwictvacature.nl/solliciteren?job=medior-fullstack-developer-bij-oo-shopping</t>
  </si>
  <si>
    <t>Technische Medior Front-end Developer</t>
  </si>
  <si>
    <t>https://www.jouwictvacature.nl/solliciteren?job=technische-medior-front-end-developer</t>
  </si>
  <si>
    <t>https://www.jouwictvacature.nl/solliciteren?job=medior-javascript-developer-bij-rivium-business-solutions</t>
  </si>
  <si>
    <t>https://www.jouwictvacature.nl/solliciteren?job=senior-front-end-developer-bij-hostnet</t>
  </si>
  <si>
    <t xml:space="preserve">Senior UI/UX Designer / Front-end </t>
  </si>
  <si>
    <t>De UI/UX Designer/ Front End werkt samen met het ontwikkelingsteam om het gebruiksvriendelijk te maken binnen een complexe applicatie. Als UI/UX Designer/ Front End ben je in staat om suggesties te geven met welke tools we het beste kunnen werken. Daarnaast heb je zelf inzicht in wat er veranderd moet worden en kan je voor elk probleem een oplossing vinden.</t>
  </si>
  <si>
    <t>https://www.jouwictvacature.nl/solliciteren?job=senior-uiux-designer--front-end-bij-qualogy</t>
  </si>
  <si>
    <t>Senior Java / VB.NET Developer bij Bottomline</t>
  </si>
  <si>
    <t>https://www.jouwictvacature.nl/solliciteren?job=senior-java--vbnet-developer-bij-bottomline-bij-bottomline</t>
  </si>
  <si>
    <t>Gappless</t>
  </si>
  <si>
    <t>HALFWEG</t>
  </si>
  <si>
    <t>Developer bij Gappless | Java, Spring Boot, JavaScript, PostgreSQL, ORM-frameworks</t>
  </si>
  <si>
    <t>Wil jij werken in een serieus slim development team? Kom dan developen bij Gappless!</t>
  </si>
  <si>
    <t>https://www.jouwictvacature.nl/solliciteren?job=developer-bij-gappless--java-spring-boot-javascript-postgresql-orm-fra</t>
  </si>
  <si>
    <t xml:space="preserve">Junior Testanalist bij Bartosz </t>
  </si>
  <si>
    <t>https://www.jouwictvacature.nl/solliciteren?job=junior-testanalist-bij-bartosz-bij-bartosz-eindhoven</t>
  </si>
  <si>
    <t>Senior Developer bij Gappless | Java, Spring Boot, JavaScript, PostgreSQL, ORM-frameworks</t>
  </si>
  <si>
    <t>https://www.jouwictvacature.nl/solliciteren?job=senior-developer-bij-gappless--java-spring-boot-javascript-postgresql-</t>
  </si>
  <si>
    <t>In de Suikersilo's in Halfweg aan de slag als Medior Java Developer?</t>
  </si>
  <si>
    <t>https://www.jouwictvacature.nl/solliciteren?job=in-de-suikersilos-in-halfweg-aan-de-slag-als-medior-java-developer-bij</t>
  </si>
  <si>
    <t>back-end developer</t>
  </si>
  <si>
    <t>https://www.jouwictvacature.nl/solliciteren?job=back-end-developer-6</t>
  </si>
  <si>
    <t xml:space="preserve">Medior back-end developer </t>
  </si>
  <si>
    <t>https://www.jouwictvacature.nl/solliciteren?job=medior-back-end-developer-bij-23g</t>
  </si>
  <si>
    <t>https://www.jouwictvacature.nl/solliciteren?job=lead-net-developer-bij-4dotnet</t>
  </si>
  <si>
    <t xml:space="preserve">Medior Web Developer (focus on front-end) </t>
  </si>
  <si>
    <t>https://www.jouwictvacature.nl/solliciteren?job=medior-web-developer-focus-on-front-end-bij-pyton-an-amadeus-company</t>
  </si>
  <si>
    <t>Wij zijn op zoek naar een startende C# Developer in Woerden</t>
  </si>
  <si>
    <t>https://www.jouwictvacature.nl/solliciteren?job=wij-zijn-op-zoek-naar-een-startende-c-developer-in-woerden</t>
  </si>
  <si>
    <t>Als ICT-professional kijkt u ernaar uit om uw kennis over te brengen op studenten. Lesgeven gaat u goed af. Studenten van de opleiding Informatica raken geboeid door uw lessen. En doen graag een beroep op uw begeleiding en advies bij hun stage- en afstudeeropdrachten in het bedrijfsleven. Voor u geen probleem, want de rol van begeleider is u op het lijf geschreven. U loopt warm voor duurzaamheid. En uw hart gaat sneller kloppen van nieuwe technologieën. Daar bent u dan ook continu naar op zoek. Want op basis van nieuwe technologieën ontwikkelt u uw onderwijsmateriaal. Zo houdt u het onderwijs up-to-date. Dat u daarom ook intensief contacten onderhoudt met bedrijven en externe deskundigen vindt u vanzelfsprekend.</t>
  </si>
  <si>
    <t>https://www.jouwictvacature.nl/solliciteren?job=docent-ict</t>
  </si>
  <si>
    <t>msg life Benelux</t>
  </si>
  <si>
    <t>Java Developer at msg life Benelux</t>
  </si>
  <si>
    <t>Are you looking for change instead of another routine? Excellent team spirit instead of hierarchies? Then develop your career with us by joining our successful team!</t>
  </si>
  <si>
    <t>https://www.jouwictvacature.nl/solliciteren?job=java-developer-at-msg-life-benelux</t>
  </si>
  <si>
    <t>Senior Oracle Fusion Middleware Specialist</t>
  </si>
  <si>
    <t>Consultant / Ontwikkelaar met 5 jaar ervaring. SOA en Oracle Fusion Middleware stack. Bewijs jezelf bij Qualogy en help onze dienstverlening uitbreiden.</t>
  </si>
  <si>
    <t>https://www.jouwictvacature.nl/solliciteren?job=senior-oracle-fusion-middleware-specialist</t>
  </si>
  <si>
    <t>https://www.jouwictvacature.nl/solliciteren?job=senior-php-developer-bij-cepo</t>
  </si>
  <si>
    <t xml:space="preserve">Medior Wordpress developer  </t>
  </si>
  <si>
    <t>Ben jij onze Medior Wordpress developer?</t>
  </si>
  <si>
    <t>https://www.jouwictvacature.nl/solliciteren?job=medior-wordpress-developer-bij-bureau-vet</t>
  </si>
  <si>
    <t>Oracle APEX Consultant</t>
  </si>
  <si>
    <t xml:space="preserve">Jij bent een aanpakker en hebt alles in huis om de ontwikkeling van een Oracle APEX Expert Center tot een succes te maken? Kom bij Qualogy. </t>
  </si>
  <si>
    <t>https://www.jouwictvacature.nl/solliciteren?job=oracle-apex-consultant</t>
  </si>
  <si>
    <t>Crowdynews</t>
  </si>
  <si>
    <t>Do you want to join an international, ambitious team and are you focussed on getting things done? We are looking for an AI-specialist, who can think along in both a creative and a strategic way concerning new concepts and the innovation of existing applications. You will be responsible for writing software that can summarize and structure all sorts of information on social media._x000D_
_x000D_
Our R&amp;D; team constantly evolves our products and works on building cool new ones. We offer you the chance to work in a fun, vivid and innovative environment. Do you have the Python skills we’re looking for? Can you design and implement system architectures and platforms? Do you have affinity with social media, high performance and language processing? Please let us know and come join us!</t>
  </si>
  <si>
    <t>https://www.jouwictvacature.nl/solliciteren?job=senior-ai-specialist</t>
  </si>
  <si>
    <t>https://www.jouwictvacature.nl/solliciteren?job=senior-back-end-developer-bij-indi-in-leek</t>
  </si>
  <si>
    <t>https://www.jouwictvacature.nl/solliciteren?job=front-end-developer-bij-growing-minds</t>
  </si>
  <si>
    <t xml:space="preserve">Senior Javascript Developer </t>
  </si>
  <si>
    <t>https://www.jouwictvacature.nl/solliciteren?job=senior-javascript-developer-bij-aan-zee-communicatie</t>
  </si>
  <si>
    <t xml:space="preserve">Senior Front-end Developer at BiZZdesign  </t>
  </si>
  <si>
    <t>https://www.jouwictvacature.nl/solliciteren?job=seniorfront-end-developer-at-bizzdesign-bij-bizzdesign</t>
  </si>
  <si>
    <t>Senior Java Developer</t>
  </si>
  <si>
    <t>Ben jij een zeer ervaren Java EE developer met ruime hands-on Java EE ontwikkelervaring en heb je ruime ervaring als Teamlead of archtect? Dan zoeken wij jou!</t>
  </si>
  <si>
    <t>https://www.jouwictvacature.nl/solliciteren?job=senior-java-developer-8</t>
  </si>
  <si>
    <t xml:space="preserve">Junior Agile Test Specialist bij Bartosz  </t>
  </si>
  <si>
    <t>https://www.jouwictvacature.nl/solliciteren?job=junior-agile-test-specialist-bij-bartosz-bij-bartosz-amsterdam-2</t>
  </si>
  <si>
    <t xml:space="preserve">Medior Java Developer bij Devoteam </t>
  </si>
  <si>
    <t>https://www.jouwictvacature.nl/solliciteren?job=senior-java-developer-bij-devoteam-2</t>
  </si>
  <si>
    <t>Junior Java Developer bij Gappless te Halfweg</t>
  </si>
  <si>
    <t>https://www.jouwictvacature.nl/solliciteren?job=junior-java-developer-bij-gappless-te-halfweg-bij-gappless</t>
  </si>
  <si>
    <t>As our first UX developer, you will have the opportunity to shape the future of our product. We are looking for someone to design and help build a user experience that’s beautiful, easy to interact with, and of superior functional quality.</t>
  </si>
  <si>
    <t>https://www.jouwictvacature.nl/solliciteren?job=junior-ux-developer-bij-rentman-bij-rentman</t>
  </si>
  <si>
    <t>Datacon B.V.</t>
  </si>
  <si>
    <t>Traineeship Integratieconsultants</t>
  </si>
  <si>
    <t>Heb je interesse in en affiniteit met IT, innovatie en de nieuwste ontwikkelingen zoals 'the Internet of Things' (IoT)? Dan is dit de ideale startersfunctie voor jou.</t>
  </si>
  <si>
    <t>https://www.jouwictvacature.nl/solliciteren?job=apiesb-consultant</t>
  </si>
  <si>
    <t>https://www.jouwictvacature.nl/solliciteren?job=medior-java-backend-developer-bij-dpa-geos</t>
  </si>
  <si>
    <t xml:space="preserve">Junior Webdeveloper </t>
  </si>
  <si>
    <t>https://www.jouwictvacature.nl/solliciteren?job=allround-developer-4</t>
  </si>
  <si>
    <t>https://www.jouwictvacature.nl/solliciteren?job=ux-developer-bij-rentman</t>
  </si>
  <si>
    <t>Medior C# .NET Developer bij MWM2</t>
  </si>
  <si>
    <t>https://www.jouwictvacature.nl/solliciteren?job=medior-c-net-developer-bij-mwm2</t>
  </si>
  <si>
    <t>Back-end Software Developer</t>
  </si>
  <si>
    <t xml:space="preserve">BWaste is one of the largest players on the waste market in The Netherlands and provides an advanced Waste registration and management portal to its customers. BSpaas is a somewhat younger daughter company with focus on the recreational market providing a portal for reservation of tennis courts, timed access control and cash register. We are using cutting edge programming and technologies to create state of the art SaaS platforms for our customers. </t>
  </si>
  <si>
    <t>https://www.jouwictvacature.nl/solliciteren?job=back-end-software-developer</t>
  </si>
  <si>
    <t>Comrads Solutions</t>
  </si>
  <si>
    <t>Web Developer bij Comrads Solutions</t>
  </si>
  <si>
    <t>Sluit je aan bij ons team in Amsterdam en ontwikkel 'NextGen' marketing software technologieën. Werk aan uitdagende projecten voor toonaangevende merken zoals Vodafone, ING, Holland Casino, Schiphol, Landal Greenparks en Atos!</t>
  </si>
  <si>
    <t>https://www.jouwictvacature.nl/solliciteren?job=web-developer-bij-comrads-solutions-2</t>
  </si>
  <si>
    <t xml:space="preserve">Senior Drupal Developer </t>
  </si>
  <si>
    <t>_x000D_
Als Drupal webdeveloper (back-end) werk je in multidisciplinaire Agile teams aan het ontwikkelen van websites en applicaties voor haar opdrachtgevers. Je werkt hierbij nauw samen met de opdrachtgevers (product owners), vormgevers, marketing &amp; business intelligence collega’s, front-, drupal- en back-end developers.</t>
  </si>
  <si>
    <t>https://www.jouwictvacature.nl/solliciteren?job=senior-drupal-developer-bij-netvlies</t>
  </si>
  <si>
    <t>LeQuest</t>
  </si>
  <si>
    <t>As a Junior Front-end Developer you will be working on LeQuest's application stack, developing the internal tooling that is used to create the next generation of medical trainings. Optimizing workflows, improving performance, and creating new services.</t>
  </si>
  <si>
    <t>https://www.jouwictvacature.nl/solliciteren?job=medior-front-end-developer-bij-lequest</t>
  </si>
  <si>
    <t>Gemotiveerde .NET Developer bij Rovict</t>
  </si>
  <si>
    <t>https://www.jouwictvacature.nl/solliciteren?job=gemotiveerde-net-developer-bij-rovict</t>
  </si>
  <si>
    <t>https://www.jouwictvacature.nl/solliciteren?job=medior-front-end-developer-bij-member-get-member-bij-member-get-member</t>
  </si>
  <si>
    <t xml:space="preserve">Senior Agile Test Specialist bij Bartosz  </t>
  </si>
  <si>
    <t>https://www.jouwictvacature.nl/solliciteren?job=senior-agile-test-specialist-bij-bartosz-bij-bartosz-zwolle</t>
  </si>
  <si>
    <t>Junior Developer bij Gappless | Java, Spring Boot, JavaScript, PostgreSQL, ORM-frameworks</t>
  </si>
  <si>
    <t>https://www.jouwictvacature.nl/solliciteren?job=junior-developer-bij-gappless--java-spring-boot-javascript-postgresql-</t>
  </si>
  <si>
    <t>In de Suikersilo's in Halfweg aan de slag als Java Developer?</t>
  </si>
  <si>
    <t>https://www.jouwictvacature.nl/solliciteren?job=in-de-suikersilos-in-halfweg-aan-de-slag-als-java-developer-bij-gapple</t>
  </si>
  <si>
    <t>HBO/WO ICT Stage bij OPEN.satisfaction te Amersfoort!</t>
  </si>
  <si>
    <t>https://www.jouwictvacature.nl/solliciteren?job=hbowo-ict-stage-bij-opensatisfaction-te-amersfoort</t>
  </si>
  <si>
    <t>Senior Java Spring Developer</t>
  </si>
  <si>
    <t>https://www.jouwictvacature.nl/solliciteren?job=senior-java-spring-developer-bij-bottomline</t>
  </si>
  <si>
    <t>https://www.jouwictvacature.nl/solliciteren?job=medior-feedback-engineer--exploratory-testing-context-driven-testing-b-2</t>
  </si>
  <si>
    <t>Hellebrekers Technieken</t>
  </si>
  <si>
    <t>EIBERGEN</t>
  </si>
  <si>
    <t>Hellebrekers is voor de afdeling in Eibergen op zoek naar een Java engineer.</t>
  </si>
  <si>
    <t>https://www.jouwictvacature.nl/solliciteren?job=java-engineer-2</t>
  </si>
  <si>
    <t xml:space="preserve">Medior .NET Developer bij Searchdog (Inhouse) </t>
  </si>
  <si>
    <t>https://www.jouwictvacature.nl/solliciteren?job=lead-net-developer-bij-searchdog-inhouse-</t>
  </si>
  <si>
    <t>Junior FullStack Software Ontwikkelaar | Java, Javascript, Angular2, Spring, UML</t>
  </si>
  <si>
    <t>https://www.jouwictvacature.nl/solliciteren?job=junior-fullstack-software-ontwikkelaar--java-javascript-angular2-sprin</t>
  </si>
  <si>
    <t>We hebben een mooi plekje in ons ontwikkelteam vrijgemaakt voor een fanatieke software ontwikkelaar!</t>
  </si>
  <si>
    <t>https://www.jouwictvacature.nl/solliciteren?job=software-engineer-bij-ecare-3</t>
  </si>
  <si>
    <t xml:space="preserve">Senior Front-end Developer  </t>
  </si>
  <si>
    <t>https://www.jouwictvacature.nl/solliciteren?job=medior-front-end-developer--2</t>
  </si>
  <si>
    <t xml:space="preserve">Gedreven Senior Backend Developer </t>
  </si>
  <si>
    <t>https://www.jouwictvacature.nl/solliciteren?job=gedreven-medior-backend-developer-3</t>
  </si>
  <si>
    <t>Flexkids</t>
  </si>
  <si>
    <t xml:space="preserve">Wil jij ons product naar een hoger niveau tillen en als spil fungeren tussen design en functie? </t>
  </si>
  <si>
    <t>https://www.jouwictvacature.nl/solliciteren?job=fullstack-developer-met-reactjs-ervaring-bij-flexkids</t>
  </si>
  <si>
    <t>SIMgroep</t>
  </si>
  <si>
    <t>Senior PHP Developer bij SIMgroep</t>
  </si>
  <si>
    <t>Ben je gedreven in webdevelopment? Meng je jezelf graag in een discussie over hoe we om moeten gaan met architectuur? Dan hebben we wellicht een DNA match! SIMgroep is op zoek naar een gedreven PHP developer waarbij het niet stopt bij Symfony en AngularJS maar die zich ook graag verdiept in Domain Driven Design, Event Sourcing of CQRS.</t>
  </si>
  <si>
    <t>https://www.jouwictvacature.nl/solliciteren?job=senior-php-developer-bij-simgroep</t>
  </si>
  <si>
    <t>Senior webdeveloper (fullstack)</t>
  </si>
  <si>
    <t>Pixelfarm zoekt een full-time web developer (fullstack) met een passie voor online, mobile en interactive. Je bent inmiddels al wat jaren bezig en je wilt de vrijheid om jouw visie op de kaart te zetten. Als senior webdeveloper ben je de drijvende kracht in de realisatie van gave projecten. Je gaat met je collega’s van front-end en back-end aan de slag om de beste websites en web-applicaties te ontwikkelen. Je hebt een leidende rol in ons technische team. Je bent het aanspreekpunt voor collega's en je helpt Pixelfarm verder te innoveren.</t>
  </si>
  <si>
    <t>https://www.jouwictvacature.nl/solliciteren?job=senior-webdeveloper-fullstack</t>
  </si>
  <si>
    <t>https://www.jouwictvacature.nl/solliciteren?job=front-end-developer-bij-gemini-design</t>
  </si>
  <si>
    <t>Junior Front-end Developer</t>
  </si>
  <si>
    <t>https://www.jouwictvacature.nl/solliciteren?job=junior-front-end-developer-11</t>
  </si>
  <si>
    <t>https://www.jouwictvacature.nl/solliciteren?job=technical-team-lead-bij-indi-in-leek</t>
  </si>
  <si>
    <t xml:space="preserve">Creatieve Front-end Developer </t>
  </si>
  <si>
    <t xml:space="preserve">Per direct zijn wij, Hulst Computer Systems B.V. opzoek naar een creatieve front-end developer! </t>
  </si>
  <si>
    <t>https://www.jouwictvacature.nl/solliciteren?job=creatieve-front-end-developer-</t>
  </si>
  <si>
    <t>Medior Java/Web Developer in automotive-sector | MS SQL, Oracle, JSP</t>
  </si>
  <si>
    <t>https://www.jouwictvacature.nl/solliciteren?job=medior-javaweb-developer-in-automotive-sector--ms-sql-oracle-jsp</t>
  </si>
  <si>
    <t>Owlin</t>
  </si>
  <si>
    <t>Front-end developer wanted!</t>
  </si>
  <si>
    <t>https://www.jouwictvacature.nl/solliciteren?job=medior-front-end-developer-bij-owlin</t>
  </si>
  <si>
    <t>https://www.jouwictvacature.nl/solliciteren?job=senior-front-end-developer-bij-gemini-design</t>
  </si>
  <si>
    <t>Senior .Net Engineer bij Sogeti in Amersfoort</t>
  </si>
  <si>
    <t>https://www.jouwictvacature.nl/solliciteren?job=medior-net-engineer-bij-sogeti-5</t>
  </si>
  <si>
    <t>Startende Agile Test Engineer bij Bartosz</t>
  </si>
  <si>
    <t>Wij zijn per direct op zoek naar startende agile test engineers om deel te nemen aan onze ‘Test engineer Traineeship'!</t>
  </si>
  <si>
    <t>https://www.jouwictvacature.nl/solliciteren?job=startende-agile-test-engineer-bij-bartosz-bij-bartosz-utrecht</t>
  </si>
  <si>
    <t>Senior .NET Engineer bij Sogeti in Capelle aan den IJssel</t>
  </si>
  <si>
    <t>https://www.jouwictvacature.nl/solliciteren?job=medior-net-engineer-bij-sogeti-3</t>
  </si>
  <si>
    <t>Medior Developer bij Gappless | Java, Spring Boot, JavaScript, PostgreSQL, ORM-frameworks</t>
  </si>
  <si>
    <t>https://www.jouwictvacature.nl/solliciteren?job=medior-developer-bij-gappless--java-spring-boot-javascript-postgresql-</t>
  </si>
  <si>
    <t xml:space="preserve">Ben jij een echte full-stacker en wil je jouw kwaliteiten graag inzetten bij het ontwikkelen van geavanceerde en kwalitatieve tools? ORTEC is op zoek naar een gedreven full-stack developer die klaar is voor een grote stap en nieuwe verantwoordelijkheden. </t>
  </si>
  <si>
    <t>https://www.jouwictvacature.nl/solliciteren?job=full-stack-developer-olie-industrie-bij-ortec</t>
  </si>
  <si>
    <t>Medior Microsoft SharePoint Specialist bij Sogeti in Capelle</t>
  </si>
  <si>
    <t>https://www.jouwictvacature.nl/solliciteren?job=microsoft-sharepoint-specialist-bij-sogeti-5</t>
  </si>
  <si>
    <t>Young Professional Microsoft .Net bij Sogeti in Eindhoven</t>
  </si>
  <si>
    <t>https://www.jouwictvacature.nl/solliciteren?job=young-professional-microsoft-net-bij-sogeti-5</t>
  </si>
  <si>
    <t>Medior C#.NET Developer bij Marketgraph</t>
  </si>
  <si>
    <t>https://www.jouwictvacature.nl/solliciteren?job=medior-cnet-developer-bij-marketgraph</t>
  </si>
  <si>
    <t>Medior PHP BACK END DEVELOPER</t>
  </si>
  <si>
    <t>https://www.jouwictvacature.nl/solliciteren?job=medior-php-back-end-developer-bij-aan-zee-communicatie</t>
  </si>
  <si>
    <t>.Net Architect bij Sogeti in Amsterdam</t>
  </si>
  <si>
    <t>https://www.jouwictvacature.nl/solliciteren?job=net-lead-engineer-bij-sogeti-4</t>
  </si>
  <si>
    <t xml:space="preserve">Medior Full Stack Developer  </t>
  </si>
  <si>
    <t>As a Senior Front-end Developer you will be working on LeQuest's application stack, developing the internal tooling that is used to create the next generation of medical trainings. Optimizing workflows, improving performance, and creating new services.</t>
  </si>
  <si>
    <t>https://www.jouwictvacature.nl/solliciteren?job=medior-full-stack-developer-bij-lequest</t>
  </si>
  <si>
    <t>https://www.jouwictvacature.nl/solliciteren?job=senior-front-end-developer-bij-bizzdesign-bij-bizzdesign</t>
  </si>
  <si>
    <t>https://www.jouwictvacature.nl/solliciteren?job=medior-javascript-developer-bij-funatic</t>
  </si>
  <si>
    <t>.Net Lead Engineer bij Sogeti in Eindhoven</t>
  </si>
  <si>
    <t>https://www.jouwictvacature.nl/solliciteren?job=senior-net-engineer-bij-sogeti-5</t>
  </si>
  <si>
    <t>Medior Testanalist bij Bartosz</t>
  </si>
  <si>
    <t>https://www.jouwictvacature.nl/solliciteren?job=medior-testanalist-bij-bartosz-bij-bartosz-utrecht</t>
  </si>
  <si>
    <t>https://www.jouwictvacature.nl/solliciteren?job=medior-java-en-webdeveloper</t>
  </si>
  <si>
    <t>.Net Architect bij Sogeti in Eindhoven</t>
  </si>
  <si>
    <t>https://www.jouwictvacature.nl/solliciteren?job=net-lead-engineer-bij-sogeti-2</t>
  </si>
  <si>
    <t>Junior Integratie Specialist | MuleSoft, Oracle SOA Suite, WSO2, WebSphere</t>
  </si>
  <si>
    <t>Kom je als Integratie Specialist bij ons werken, dan kun je rekenen op een goed salaris en vorm je onderdeel van een hecht team. Je krijgt alle ruimte voor het volgen van opleidingen en persoonlijke groei. Wij komen graag in contact met zelfverzekerde en deskundige mensen die een nieuwe stap willen zetten in hun carrière.</t>
  </si>
  <si>
    <t>https://www.jouwictvacature.nl/solliciteren?job=junior-integratie-specialist--mulesoft-oracle-soa-suite-wso2-websphere</t>
  </si>
  <si>
    <t>Junior Java-developer | Spring, AngularJS, SOAP, Rest API, Jenkins</t>
  </si>
  <si>
    <t>https://www.jouwictvacature.nl/solliciteren?job=junior-java-developer--spring-angularjs-soap-rest-api-jenkins-bij-hybr</t>
  </si>
  <si>
    <t xml:space="preserve">Junior Agile Test Specialist bij Bartosz </t>
  </si>
  <si>
    <t>https://www.jouwictvacature.nl/solliciteren?job=junior-agile-test-specialist-bij-bartosz-bij-bartosz-amsterdam</t>
  </si>
  <si>
    <t>https://www.jouwictvacature.nl/solliciteren?job=senior-softwareontwikkelaar-bij-betabit-regio-rotterdam</t>
  </si>
  <si>
    <t>https://www.jouwictvacature.nl/solliciteren?job=ervaren-ax-consultant</t>
  </si>
  <si>
    <t>Vacature Junior PHP Developer</t>
  </si>
  <si>
    <t>https://www.jouwictvacature.nl/solliciteren?job=gedreven-junior-php-developer-bij-square</t>
  </si>
  <si>
    <t>Junior C#.NET Developer bij Marketgraph</t>
  </si>
  <si>
    <t>https://www.jouwictvacature.nl/solliciteren?job=junior-cnet-developer-bij-marketgraph</t>
  </si>
  <si>
    <t>https://www.jouwictvacature.nl/solliciteren?job=medior-webdeveloper--fulltime-bij-koekenpeer</t>
  </si>
  <si>
    <t>Gedreven PHP backend developer</t>
  </si>
  <si>
    <t>https://www.jouwictvacature.nl/solliciteren?job=full-stack-developer-11</t>
  </si>
  <si>
    <t>Minox</t>
  </si>
  <si>
    <t>VEENENDAAL</t>
  </si>
  <si>
    <t>Interessante technology stack. Bewezen en groeiende organisatie met een scale-up cultuur. Werken met andere tech-savvy developers. Zelf invloed hebben op productontwikkeling, technologie keuzes en DevOps verbeteringen. Kans om naast je core taken zaken op te pakken die jouw interesse hebben en verder mee te groeien met de organisatie.</t>
  </si>
  <si>
    <t>https://www.jouwictvacature.nl/solliciteren?job=senior-javascript-developer-bij-minox</t>
  </si>
  <si>
    <t>Gedreven PHP Developer met ervaring gezocht!</t>
  </si>
  <si>
    <t>https://www.jouwictvacature.nl/solliciteren?job=gedreven-php-developer-met-ervaring-gezocht</t>
  </si>
  <si>
    <t>Medior Fullstack Developer met ervaring in NodeJS</t>
  </si>
  <si>
    <t>https://www.jouwictvacature.nl/solliciteren?job=medior-fullstack-developer-bij-onsweb</t>
  </si>
  <si>
    <t>https://www.jouwictvacature.nl/solliciteren?job=medior-front-end-ontwikkelaar-bij-bigbridge-bij-bigbridge</t>
  </si>
  <si>
    <t xml:space="preserve">Senior Java Ontwikkelaar   </t>
  </si>
  <si>
    <t>Als Senior Java Developer ben je verantwoordelijk voor de realisatie van software oplossingen. Afhankelijk van jouw ervaring ben je in het project betrokken bij het opstellen van de functionele eisen tot aan het begeleiden van de acceptatietest.</t>
  </si>
  <si>
    <t>https://www.jouwictvacature.nl/solliciteren?job=senior-java-developer-7</t>
  </si>
  <si>
    <t xml:space="preserve">Senior Testanalist bij Bartosz </t>
  </si>
  <si>
    <t>https://www.jouwictvacature.nl/solliciteren?job=senior-testanalist-bij-bartosz-bij-bartosz-eindhoven</t>
  </si>
  <si>
    <t>Docent Databases en/of Testing bij de Hogeschool van Amsterdam</t>
  </si>
  <si>
    <t>Wil jij jouw kennis overdragen op de nieuwe generatie? De Hogeschool van Amsterdam (HvA) is voor de ICT-opleidingen op zoek naar een Docent Databases en/of Testing!</t>
  </si>
  <si>
    <t>https://www.jouwictvacature.nl/solliciteren?job=docent-databases-enof-testing-bij-de-hogeschool-van-amsterdam-bij-hoge</t>
  </si>
  <si>
    <t xml:space="preserve">Senior Feedback Engineer bij Bartosz </t>
  </si>
  <si>
    <t>https://www.jouwictvacature.nl/solliciteren?job=senior-feedback-engineer-bij-bartosz-bij-bartosz-eindhoven</t>
  </si>
  <si>
    <t>Stageopdracht: TestUnit Cases bij OPEN.satisfaction te Amersfoort</t>
  </si>
  <si>
    <t>https://www.jouwictvacature.nl/solliciteren?job=stageopdracht-testunit-cases-bij-opensatisfaction-te-amersfoort</t>
  </si>
  <si>
    <t>Junior Java Software Developer | Java, HTML CSS, Javascript, Mobile, Eclipse, Docker</t>
  </si>
  <si>
    <t>https://www.jouwictvacature.nl/solliciteren?job=junior-java-software-developer--java-html-css-javascript-mobile-eclips</t>
  </si>
  <si>
    <t>Development (.NET)  bijbaan voor ambitieuze studenten (HBO/WO) in Utrecht</t>
  </si>
  <si>
    <t>Ben jij een ambitieuze student informatica (HBO of WO) in het derde of vierde jaar?</t>
  </si>
  <si>
    <t>https://www.jouwictvacature.nl/solliciteren?job=development-net-bijbaan-voor-ambitieuze-studenten-hbowo-in-utrecht</t>
  </si>
  <si>
    <t>Allround developer</t>
  </si>
  <si>
    <t>https://www.jouwictvacature.nl/solliciteren?job=allround-developer-3</t>
  </si>
  <si>
    <t>https://www.jouwictvacature.nl/solliciteren?job=medior-softwareontwikkelaar-bij-betabit-regio-rotterdam</t>
  </si>
  <si>
    <t xml:space="preserve">Ben jij klaar voor een nieuwe stap in je carrière? Deze uitdaging is uniek en geeft jou de ultieme mogelijkheid om je nóg verder te ontwikkelen. ORTEC is op zoek naar een ervaren back-end software engineer met een flinke dosis motivatie en een sterk verantwoordelijkheidsgevoel. Ga jij deze uitdaging aan? </t>
  </si>
  <si>
    <t>https://www.jouwictvacature.nl/solliciteren?job=senior-back-end-software-engineer-bij-ortec</t>
  </si>
  <si>
    <t>https://www.jouwictvacature.nl/solliciteren?job=senior-net-ontwikkelaar-bij-4dotnet-2</t>
  </si>
  <si>
    <t>Senior ASP.NET/C# ontwikkelaar</t>
  </si>
  <si>
    <t>https://www.jouwictvacature.nl/solliciteren?job=senior-aspnetc-ontwikkelaar</t>
  </si>
  <si>
    <t>Senior .NET Developer bij Packs | o.a. Inhouse + studiebudget!</t>
  </si>
  <si>
    <t>https://www.jouwictvacature.nl/solliciteren?job=senior-net-developer-bij-packs--oa-inhouse--studiebudget</t>
  </si>
  <si>
    <t>Junior C# .NET / ReactJS developer bij EasyAds (Inhouse)</t>
  </si>
  <si>
    <t>https://www.jouwictvacature.nl/solliciteren?job=junior-c-net--reactjs-developer-bij-easyads-inhouse</t>
  </si>
  <si>
    <t>https://www.jouwictvacature.nl/solliciteren?job=senior-front-end-developer-bij-codarts-hogeschool-voor-de-kunsten-bij--2</t>
  </si>
  <si>
    <t>https://www.jouwictvacature.nl/solliciteren?job=junior-front-end-developer-bij-codarts-hogeschool-voor-de-kunsten-bij-</t>
  </si>
  <si>
    <t>https://www.jouwictvacature.nl/solliciteren?job=medior-php-developer-bij-cepo</t>
  </si>
  <si>
    <t>Backend koning gezocht regio Arnhem (PHP)</t>
  </si>
  <si>
    <t>https://www.jouwictvacature.nl/solliciteren?job=magento-developer-met-ambitie</t>
  </si>
  <si>
    <t>Magento developer met ambitie</t>
  </si>
  <si>
    <t>https://www.jouwictvacature.nl/solliciteren?job=gedreven-backend-medior--senior-developer-2</t>
  </si>
  <si>
    <t>https://www.jouwictvacature.nl/solliciteren?job=allround-designer-bij-creabea</t>
  </si>
  <si>
    <t xml:space="preserve">Medior Web Developer (focus on front-end)  </t>
  </si>
  <si>
    <t>https://www.jouwictvacature.nl/solliciteren?job=senior-web-developer-focus-on-front-end-</t>
  </si>
  <si>
    <t>https://www.jouwictvacature.nl/solliciteren?job=seniorjavascript-developer-bij-mplus</t>
  </si>
  <si>
    <t>Als frontend developer werk je in ons kantoor als lid van ons agile software development team. In korte sprints werk je nauw samen met je teamleden. _x000D_
Je werkt in het team samen met designers, backend developers, de product owner om jouw ideeën te testen, analyseren, challengen en te ontwikkelen. _x000D_
Je krijgt veel vrijheid en verantwoordelijkheid om het verschil te maken.</t>
  </si>
  <si>
    <t>https://www.jouwictvacature.nl/solliciteren?job=senior-web-developer-met-front-end-focus-bij-sumedia</t>
  </si>
  <si>
    <t>https://www.jouwictvacature.nl/solliciteren?job=front-end-developer-bij-sumedia</t>
  </si>
  <si>
    <t>Senior Agile Test Engineer bij Het ConsultancyHuis</t>
  </si>
  <si>
    <t>Als Senior Agile Test Engineer aan de slag bij dé topwerkgever en topdienstverlener van Nederland?</t>
  </si>
  <si>
    <t>https://www.jouwictvacature.nl/solliciteren?job=senior-agile-test-engineer-bij-het-consultancyhuis-bij-het-consultancy</t>
  </si>
  <si>
    <t>Junior Java Developer met interesse in IOT bij Dexels in Amsterdam</t>
  </si>
  <si>
    <t>Als Junior Java Developer met interesse in IOT bij Dexels krijg je ondersteuning van onze Senior sportlink Developers in de dagelijkse taken van het tackelen van RFC’s, bugs en het tot een goed einde brengen van complete software projecten.</t>
  </si>
  <si>
    <t>https://www.jouwictvacature.nl/solliciteren?job=junior-java-developer-met-interesse-in-iot-bij-dexels-in-amsterdam</t>
  </si>
  <si>
    <t>Medior Java Developer in Utrecht | Spring, Boot, Reactor, Cloud</t>
  </si>
  <si>
    <t>https://www.jouwictvacature.nl/solliciteren?job=medior-java-developer-in-utrecht--spring-boot-reactor-cloud-bij-bottom</t>
  </si>
  <si>
    <t>Senior Feedback Engineer | Exploratory Testing, Context Driven Testing, BDD, SbE, TDD</t>
  </si>
  <si>
    <t>https://www.jouwictvacature.nl/solliciteren?job=senior-feedback-engineer--exploratory-testing-context-driven-testing-b-2</t>
  </si>
  <si>
    <t xml:space="preserve">Wil je werken in een zeer dynamische en internationale omgeving? Bij ORTEC krijg je de kans om te werken met de nieuwste en meest geavanceerde tools en technologieën. We zijn op zoek naar een ambitieuze software engineer met en grote passie voor applicatieontwikkeling. Is dit jouw volgende stap? </t>
  </si>
  <si>
    <t>https://www.jouwictvacature.nl/solliciteren?job=junior-software-engineer-bij-ortec</t>
  </si>
  <si>
    <t>Webdeveloper C# bij MWM2</t>
  </si>
  <si>
    <t>https://www.jouwictvacature.nl/solliciteren?job=webdeveloper-c-bij-mwm2</t>
  </si>
  <si>
    <t>Senior Full Stack Ontwikkelaar</t>
  </si>
  <si>
    <t>https://www.jouwictvacature.nl/solliciteren?job=senior-full-stack-ontwikkelaar-bij-sysunite-bv</t>
  </si>
  <si>
    <t xml:space="preserve">Enthousiaste Front-end developer </t>
  </si>
  <si>
    <t>https://www.jouwictvacature.nl/solliciteren?job=enthousiaste-front-end-developer-</t>
  </si>
  <si>
    <t>Junior front-end developer bij Bratpack!</t>
  </si>
  <si>
    <t>https://www.jouwictvacature.nl/solliciteren?job=junior-front-end-developer-bij-bratpack</t>
  </si>
  <si>
    <t>https://www.jouwictvacature.nl/solliciteren?job=senior-front-end-developer-bij-maximumnl</t>
  </si>
  <si>
    <t>https://www.jouwictvacature.nl/solliciteren?job=medior-software-engineer-bij-cgi</t>
  </si>
  <si>
    <t>Stageopdracht: OPEN.taken bij OPEN.satisfaction te Amersfoort</t>
  </si>
  <si>
    <t>https://www.jouwictvacature.nl/solliciteren?job=stageopdracht-opentaken-bij-opensatisfaction-te-amersfoort</t>
  </si>
  <si>
    <t>Java Developer bij Gappless te Halfweg</t>
  </si>
  <si>
    <t>https://www.jouwictvacature.nl/solliciteren?job=java-developer-bij-gappless-te-halfweg</t>
  </si>
  <si>
    <t>Medior Feedback Engineer bij Bartosz</t>
  </si>
  <si>
    <t>https://www.jouwictvacature.nl/solliciteren?job=medior-feedback-engineer-bij-bartosz-bij-bartosz-amsterdam</t>
  </si>
  <si>
    <t>Medior Java Ontwikkelaar bij msg life Benelux</t>
  </si>
  <si>
    <t>Bent u op zoek naar verandering in plaats van routine? Combineer succesvol werken met een leuke werksfeer! Ontwikkelen uw carrière bij ons verder en versterk ons team!</t>
  </si>
  <si>
    <t>https://www.jouwictvacature.nl/solliciteren?job=medior-java-ontwikkelaar-bij-msg-life-benelux-bij-msg-life-benelux</t>
  </si>
  <si>
    <t>.NET Architect bij ICATT | Studiebudget en mogelijkheid voor parttime</t>
  </si>
  <si>
    <t>https://www.jouwictvacature.nl/solliciteren?job=net-architect-bij-icatt--studiebudget-en-mogelijkheid-voor-parttime</t>
  </si>
  <si>
    <t xml:space="preserve">Medior Software Developer | Delphi, C++, C#, Java, Firebird, SQL, Interbase  </t>
  </si>
  <si>
    <t>Heb je minimaal twee jaar ervaring als software developer, ben je gedreven in je vak en altijd op zoek om jezelf te verbeteren? Wij zoeken professionals die meer verantwoordelijkheid willen en kunnen dragen in onze prominente projecten.</t>
  </si>
  <si>
    <t>https://www.jouwictvacature.nl/solliciteren?job=medior-software-developer--delphi-c-c-java-firebird-sql-interbase-</t>
  </si>
  <si>
    <t xml:space="preserve">Ambitieuze Developer .NET applicaties - Voor mooie klanten als De Efteling / NEMO / Bobbejaanland </t>
  </si>
  <si>
    <t>https://www.jouwictvacature.nl/solliciteren?job=junior-developer-net-applicaties-voor-mooie-klanten-als-de-efteling--n</t>
  </si>
  <si>
    <t>Gedreven Medior Backend Developer</t>
  </si>
  <si>
    <t>https://www.jouwictvacature.nl/solliciteren?job=gedreven-medior-backend-developer</t>
  </si>
  <si>
    <t>PHP web developer Junior</t>
  </si>
  <si>
    <t>https://www.jouwictvacature.nl/solliciteren?job=php-web-developer-junior</t>
  </si>
  <si>
    <t>https://www.jouwictvacature.nl/solliciteren?job=traineeship-agile-test-engineer-bij-bartosz-bij-bartosz-utrecht</t>
  </si>
  <si>
    <t>Medior Software Engineer bij Axual | Java, Apache Kafka | Incl. MacBook Pro</t>
  </si>
  <si>
    <t>https://www.jouwictvacature.nl/solliciteren?job=medior-software-engineer-bij-axual--java-apache-kafka--incl-macbook-pr</t>
  </si>
  <si>
    <t>Medior Mobile Developer | iOs, Android, PhoneGap, Objective-C, Java, Swift</t>
  </si>
  <si>
    <t>https://www.jouwictvacature.nl/solliciteren?job=medior-mobile-developer--ios-android-phonegap-objective-c-java-swift-b</t>
  </si>
  <si>
    <t>Senior Java Developer | Spring, Grails, Wicket, JavaScript, Scala</t>
  </si>
  <si>
    <t>https://www.jouwictvacature.nl/solliciteren?job=medior-java-developer--spring-grails-wicket-javascript-scala-2</t>
  </si>
  <si>
    <t>https://www.jouwictvacature.nl/solliciteren?job=senior-net-developer--c-aspnet-mvc-angularjs-bij-thunderbuild-bv</t>
  </si>
  <si>
    <t>Lead C# developer / Architect bij ICATT (Inhouse)</t>
  </si>
  <si>
    <t>https://www.jouwictvacature.nl/solliciteren?job=lead-c-developer--architect-bij-icatt-inhouse</t>
  </si>
  <si>
    <t>Junior C# .NET / ReactJS developer bij EasyAds | .NET | ReactJS | NodeJS</t>
  </si>
  <si>
    <t>https://www.jouwictvacature.nl/solliciteren?job=junior-c-net--reactjs-developer-bij-easyads--net--reactjs--nodejs</t>
  </si>
  <si>
    <t xml:space="preserve">Bij Ecare zijn we onder de collega’s altijd op zoek naar de juiste balans tussen talenten en mensen met de nodige ervaring. Heb jij passie voor het ontwikkelen van mooie ICT-oplossingen, en ben jij ook leergierig, klantgericht, daadkrachtig en positief ingesteld? Dan hebben wij de ideale baan voor jou! Het zou namelijk geweldig zijn als jij samen met onze collega’s in het ontwikkelteam verder bouwt aan innovatieve softwareoplossingen. </t>
  </si>
  <si>
    <t>https://www.jouwictvacature.nl/solliciteren?job=software-engineer-4</t>
  </si>
  <si>
    <t>Medior Full-stack Developer</t>
  </si>
  <si>
    <t>https://www.jouwictvacature.nl/solliciteren?job=medior-full-stack-developer-bij-coas</t>
  </si>
  <si>
    <t xml:space="preserve">Senior PHP-PROGRAMMEUR </t>
  </si>
  <si>
    <t>https://www.jouwictvacature.nl/solliciteren?job=senior-php-programmeur-bij-hvmp-marketing--ernesto-</t>
  </si>
  <si>
    <t>Vanwege de internationale groei die we doormaken, zijn we voor ons jonge, dynamische team op zoek naar versterking voor onze developmentafdeling. Je bouwt en denkt mee over de frontend(s) van ons videoplatform.</t>
  </si>
  <si>
    <t>https://www.jouwictvacature.nl/solliciteren?job=medior-frontend-developer-javascript-bij-tradecast</t>
  </si>
  <si>
    <t>NIEUWKUIJK</t>
  </si>
  <si>
    <t xml:space="preserve">Senior Laravel back-end developer </t>
  </si>
  <si>
    <t>https://www.jouwictvacature.nl/solliciteren?job=senior-laravel-back-end-developer-bij-23g</t>
  </si>
  <si>
    <t>https://www.jouwictvacature.nl/solliciteren?job=senior-nodejs-software-engineer-bij-ksyos</t>
  </si>
  <si>
    <t>https://www.jouwictvacature.nl/solliciteren?job=front-end-developer-bij-hostnet</t>
  </si>
  <si>
    <t>Junior Front-end Developer met ReactJS ervaring</t>
  </si>
  <si>
    <t>https://www.jouwictvacature.nl/solliciteren?job=junior-front-end-developer-met-reactjs-ervaring-bij-oo-shopping</t>
  </si>
  <si>
    <t>Senior Backend Software Engineer | Java, .NET, Groovy, Python, Mongo, Docker</t>
  </si>
  <si>
    <t>Are you a Senior Backend Software Engineer and do you want to work at the most innovative technology agency in The Netherlands? Come work at Trifork!</t>
  </si>
  <si>
    <t>https://www.jouwictvacature.nl/solliciteren?job=senior-backend-software-engineer--java-net-groovy-python-mongo-docker-</t>
  </si>
  <si>
    <t>Medior Javascript Ontwikkelaar</t>
  </si>
  <si>
    <t>https://www.jouwictvacature.nl/solliciteren?job=medior-javascript-ontwikkelaar-bij-not-on-paper</t>
  </si>
  <si>
    <t xml:space="preserve">Junior Allround Developer  </t>
  </si>
  <si>
    <t>https://www.jouwictvacature.nl/solliciteren?job=junior-allround-developer-bij-asamco-bv</t>
  </si>
  <si>
    <t>Medior Java Developer</t>
  </si>
  <si>
    <t xml:space="preserve">Je bent een ervaren Java EE developer met ruime hands-on Java EE ontwikkelervaring, die zich zowel technisch als persoonlijk niet van de wijs laat brengen. Jij hebt uitstekende Java programmeerskills, technisch inzicht, bent innovatief en proactief. </t>
  </si>
  <si>
    <t>https://www.jouwictvacature.nl/solliciteren?job=medior-java-developer-6</t>
  </si>
  <si>
    <t>Senior Java Developer at Trifork in Amsterdam</t>
  </si>
  <si>
    <t>https://www.jouwictvacature.nl/solliciteren?job=senior-java-developer-at-trifork-in-amsterdam</t>
  </si>
  <si>
    <t>Senior Machine Learning Developer at Trifork in Amsterdam</t>
  </si>
  <si>
    <t>https://www.jouwictvacature.nl/solliciteren?job=senior-machine-learning-developer-at-trifork-in-amsterdam</t>
  </si>
  <si>
    <t>Senior Innovative Backend Software Engineer at Trifork</t>
  </si>
  <si>
    <t>https://www.jouwictvacature.nl/solliciteren?job=senior-innovative-backend-software-engineer-at-trifork-bij-trifork</t>
  </si>
  <si>
    <t>https://www.jouwictvacature.nl/solliciteren?job=senior-testanalist-bij-bartosz-bij-bartosz-zwolle</t>
  </si>
  <si>
    <t>Medior Java Developer in Amsterdam | Spring, (No)SQL databases, Elasticsearch, Docker</t>
  </si>
  <si>
    <t>https://www.jouwictvacature.nl/solliciteren?job=medior-java-developer-in-amsterdam--spring-nosql-databases-elasticsear</t>
  </si>
  <si>
    <t>Lead C# webdeveloper / Architect bij ICATT (Inhouse)</t>
  </si>
  <si>
    <t>Junior Machine Learning Developer at Trifork in Amsterdam</t>
  </si>
  <si>
    <t>https://www.jouwictvacature.nl/solliciteren?job=junior-machine-learning-developer-at-trifork-in-amsterdam-bij-trifork</t>
  </si>
  <si>
    <t xml:space="preserve">Senior laravel developer </t>
  </si>
  <si>
    <t>Als Senior laravel developer werk je aan veelzijdige opdrachten voor toffe opdrachtgevers binnen een zeer gedreven team. PHP is jouw exceptionele kwaliteit en je weet op ieder vraagstuk een passend antwoord. Samen met het back-end team ben je verantwoordelijk voor goed functionerende data koppelingen, maatwerk modules, sterke zoekmachines en meer.</t>
  </si>
  <si>
    <t>https://www.jouwictvacature.nl/solliciteren?job=senior-laravel-developer-bij-flashpoint-2</t>
  </si>
  <si>
    <t>Uitgeverij Deviant</t>
  </si>
  <si>
    <t>Werken met de nieuwste technieken in een professioneel team met een aantrekkelijk salaris? Lees dan verder...</t>
  </si>
  <si>
    <t>https://www.jouwictvacature.nl/solliciteren?job=junior-front-end-developer-bij-uitgeverij-deviant-bij-uitgeverij-devia</t>
  </si>
  <si>
    <t>Digitaal Kantoor</t>
  </si>
  <si>
    <t>Bij Digitaal Kantoor zijn ze per direct op zoek naar een Senior PHP-developer!</t>
  </si>
  <si>
    <t>https://www.jouwictvacature.nl/solliciteren?job=senior-php-developer-bij-digitaal-kantoor-bij-digitaal-kantoor</t>
  </si>
  <si>
    <t>Bewezen en snel groeiende organisatie met een scale-up cultuur. Werken met (bèta) klanten en inspirerende collega’s. Bouwen en leidinggeven aan een team. Zelf invloed hebben op productontwikkeling en klanttevredenheid. Bijdragen aan het breder inzetten van automated testing. Kans om naast je core taken zaken op te pakken die jouw interesse hebben en verder mee te groeien met de organisatie.</t>
  </si>
  <si>
    <t>https://www.jouwictvacature.nl/solliciteren?job=software-tester-bij-minox</t>
  </si>
  <si>
    <t xml:space="preserve">Senior Webdeveloper   </t>
  </si>
  <si>
    <t>https://www.jouwictvacature.nl/solliciteren?job=medior-webdeveloper-</t>
  </si>
  <si>
    <t>https://www.jouwictvacature.nl/solliciteren?job=medior-front-end-developer-bij-u-lab</t>
  </si>
  <si>
    <t>https://www.jouwictvacature.nl/solliciteren?job=senior-front-end-developer-bij-aan-zee-communicatie</t>
  </si>
  <si>
    <t>Junior NodeJSDeveloper</t>
  </si>
  <si>
    <t>https://www.jouwictvacature.nl/solliciteren?job=junior-nodejs-developer-bij-onsweb</t>
  </si>
  <si>
    <t>https://www.jouwictvacature.nl/solliciteren?job=medior-javascript-developer-bij-appmachine-</t>
  </si>
  <si>
    <t xml:space="preserve">Medior Feedback Engineer bij Bartosz   </t>
  </si>
  <si>
    <t>https://www.jouwictvacature.nl/solliciteren?job=medior-feedback-engineer-bij-bartosz-bij-bartosz-zwolle-2</t>
  </si>
  <si>
    <t xml:space="preserve">Senior Java Developer | Spring, Grails, Wicket, JavaScript, Scala </t>
  </si>
  <si>
    <t>https://www.jouwictvacature.nl/solliciteren?job=senior-java-developer--spring-grails-wicket-javascript-scala-bij-dpa-g-2</t>
  </si>
  <si>
    <t>https://www.jouwictvacature.nl/solliciteren?job=junior-agile-test-specialist-bij-bartosz-bij-bartosz-zwolle</t>
  </si>
  <si>
    <t xml:space="preserve">Junior Integratie Specialist | MuleSoft, Oracle SOA Suite, WSO2, WebSphere </t>
  </si>
  <si>
    <t>https://www.jouwictvacature.nl/solliciteren?job=junior-integratie-specialist--mulesoft-oracle-soa-suite-wso2-websphere-2</t>
  </si>
  <si>
    <t>USoft</t>
  </si>
  <si>
    <t>NAARDEN</t>
  </si>
  <si>
    <t>Technical Consultant at USoft</t>
  </si>
  <si>
    <t>We are looking for customer focused, high tech technical consultants!</t>
  </si>
  <si>
    <t>https://www.jouwictvacature.nl/solliciteren?job=technical-consultant-at-usoft-bij-usoft</t>
  </si>
  <si>
    <t>Junior .NET Developer bij Utilize voor 32, 36 of 40 uur per week</t>
  </si>
  <si>
    <t>https://www.jouwictvacature.nl/solliciteren?job=junior-net-developer-bij-utilize-voor-32-36-of-40-uur-per-week</t>
  </si>
  <si>
    <t>VDMi/</t>
  </si>
  <si>
    <t xml:space="preserve">Medior symfony Developer </t>
  </si>
  <si>
    <t>Binnen één van onze teams hebben wij een vacature voor een Senior Drupal developer!</t>
  </si>
  <si>
    <t>https://www.jouwictvacature.nl/solliciteren?job=medior-symfony-developer-bij-vdminl</t>
  </si>
  <si>
    <t>Senior Mendix Ontwikkelaar bij Volant Groep</t>
  </si>
  <si>
    <t>Wij zijn op zoek naar een Senior Mendix ontwikkelaar/ontwerper die van uitdagingen houdt, iemand die ons kan helpen met zijn/haar expertise op het gebied van software ontwikkeling.</t>
  </si>
  <si>
    <t>https://www.jouwictvacature.nl/solliciteren?job=senior-mendix-ontwikkelaar-bij-volant-groep-bij-volant-groep</t>
  </si>
  <si>
    <t>Medior Mendix Ontwikkelaar bij Volant Groep</t>
  </si>
  <si>
    <t xml:space="preserve">Wij zijn op zoek naar een Medior Mendix ontwikkelaar/ontwerper die van uitdagingen houdt, iemand die ons kan helpen met zijn/haar expertise op het gebied van software ontwikkeling. _x000D_
</t>
  </si>
  <si>
    <t>https://www.jouwictvacature.nl/solliciteren?job=medior-mendix-ontwikkelaar-bij-volant-groep</t>
  </si>
  <si>
    <t xml:space="preserve">Medior Fullstack Developer  </t>
  </si>
  <si>
    <t>https://www.jouwictvacature.nl/solliciteren?job=medior-fullstack-developer-bij-we4sea</t>
  </si>
  <si>
    <t xml:space="preserve">Senior PHP developer  </t>
  </si>
  <si>
    <t>https://www.jouwictvacature.nl/solliciteren?job=senior-php-developer-bij-divtag</t>
  </si>
  <si>
    <t xml:space="preserve">Junior PHP Developer bij Muntz </t>
  </si>
  <si>
    <t>https://www.jouwictvacature.nl/solliciteren?job=junior-php-developer-bij-muntz-bij-muntz</t>
  </si>
  <si>
    <t>Gedreven Senior PHP developer met leiderschapsambitie</t>
  </si>
  <si>
    <t>https://www.jouwictvacature.nl/solliciteren?job=gedreven-senior-php--magento-developer-bij-topwerkgever--2</t>
  </si>
  <si>
    <t>https://www.jouwictvacature.nl/solliciteren?job=junior-net-ontwikkelaar-bij-betabit-regio-utrechtamsterdam</t>
  </si>
  <si>
    <t xml:space="preserve">Allround PHP developer (Medior) </t>
  </si>
  <si>
    <t xml:space="preserve">Zie jij uitdaging in het ontwikkelen en verbeteren van grote (e-commerce) websites en applicaties? Wil je de ruimte krijgen om eigen initiatief te tonen en je kwaliteiten sterk te kunnen ontwikkelen? Als jij toe bent aan een veelzijdige en verantwoordelijke baan als PHP developer, hebben wij de ideale baan voor jou! </t>
  </si>
  <si>
    <t>https://www.jouwictvacature.nl/solliciteren?job=senior-php-webontwikkelaar-met-kennis-van-laravel</t>
  </si>
  <si>
    <t>Medior C# .NET / ReactJS developer bij EasyAds (Inhouse)</t>
  </si>
  <si>
    <t>https://www.jouwictvacature.nl/solliciteren?job=medior-c-net--reactjs-developer-bij-easyads-inhouse</t>
  </si>
  <si>
    <t>ParTech</t>
  </si>
  <si>
    <t>Is webontwikkeling jouw passie? Werk je graag aan grootschalige projecten, met de nieuwste technieken en in samenwerking met ervaren professionals? Hou jij van een informele sfeer en zie je het als een uitdaging om jezelf continu te ontwikkelen op het gebied van .NET?_x000D_
Dan ben jij de persoon die wij zoeken!</t>
  </si>
  <si>
    <t>https://www.jouwictvacature.nl/solliciteren?job=senior-net-webdeveloper-bij-partech</t>
  </si>
  <si>
    <t>Principal .NET Developer | Werken met de nieuwste technieken?</t>
  </si>
  <si>
    <t>https://www.jouwictvacature.nl/solliciteren?job=principal-net-developer--werken-met-de-nieuwste-technieken</t>
  </si>
  <si>
    <t>Zeo</t>
  </si>
  <si>
    <t>Zeo is een full service online marketingbureau. We groeien sterk en momenteel werken we met 35 A-spelers aan de online marketingcampagnes van honderden bedrijven. Daarnaast bouwen we websites voor ze in WordPress en Magento. Onze webstudio krijgt steeds meer projecten en daarvoor zoeken we een front-end developer!</t>
  </si>
  <si>
    <t>https://www.jouwictvacature.nl/solliciteren?job=designer-bij-zeo</t>
  </si>
  <si>
    <t>Senior Java Developer gezocht voor in-house functie te Houten</t>
  </si>
  <si>
    <t>https://www.jouwictvacature.nl/solliciteren?job=senior-java-developer-gezocht-voor-in-house-functie-te-houten-bij-sofi</t>
  </si>
  <si>
    <t>https://www.jouwictvacature.nl/solliciteren?job=junior-software-engineer-at-asset-control</t>
  </si>
  <si>
    <t xml:space="preserve">Medior Hippo/CMS Developer </t>
  </si>
  <si>
    <t>https://www.jouwictvacature.nl/solliciteren?job=medior-hippocms-developer-</t>
  </si>
  <si>
    <t>Ervaren Full Stack Developer bij Het ConsultancyHuis</t>
  </si>
  <si>
    <t>Als Full Stack developer aan de slag bij dé topwerkgever en topdienstverlener van Nederland?</t>
  </si>
  <si>
    <t>https://www.jouwictvacature.nl/solliciteren?job=ervaren-full-stack-developer-bij-het-consultancyhuis-bij-het-consultan</t>
  </si>
  <si>
    <t>Senior Mobile Developer | iOs, Android, PhoneGap, Objective-C, Java, Swift</t>
  </si>
  <si>
    <t>https://www.jouwictvacature.nl/solliciteren?job=senior-mobile-developer--ios-android-phonegap-objective-c-java-swift-b</t>
  </si>
  <si>
    <t>https://www.jouwictvacature.nl/solliciteren?job=medior-front-end-developer-</t>
  </si>
  <si>
    <t xml:space="preserve">Senior Back End Developer bij Deepdata </t>
  </si>
  <si>
    <t>Voor ons snel groeiend bedrijf zijn wij per direct opzoek naar een enthousiaste Senior web developer die samen met onze gedreven Developers in teamverband en zelfstandig te werk gaat. Ervaring met PHP is essentieel. Waar nodig zullen we je vanzelfsprekend bijstaan met het verder thuis worden in onze systemen.</t>
  </si>
  <si>
    <t>https://www.jouwictvacature.nl/solliciteren?job=senior-back-end-developer-bij-deepdata-bij-deepdata</t>
  </si>
  <si>
    <t>Medior Drupal Developer</t>
  </si>
  <si>
    <t>https://www.jouwictvacature.nl/solliciteren?job=medior-drupal-developer</t>
  </si>
  <si>
    <t>Software developer | JEE, Spring, Hibernate, Maven, JBoss</t>
  </si>
  <si>
    <t>Do you get enthusiastic about demanding business processes and do you like to look for creative solutions to new challenges? Then you would be a great addition to our team as a software developer, come join msg life Benelux!</t>
  </si>
  <si>
    <t>https://www.jouwictvacature.nl/solliciteren?job=software-developer--jee-spring-hibernate-maven-jboss-bij-msg-life-bene</t>
  </si>
  <si>
    <t>Senior Backend Java  Developer | Hibernate, JPA, Spring MVC, Oracle</t>
  </si>
  <si>
    <t>https://www.jouwictvacature.nl/solliciteren?job=senior-java-developer--hibernate-jpa-spring-mvc-oracle-bij-dpa-geos</t>
  </si>
  <si>
    <t xml:space="preserve">Junior Testanalist bij Bartosz  </t>
  </si>
  <si>
    <t>https://www.jouwictvacature.nl/solliciteren?job=junior-testanalist-bij-bartosz-bij-bartosz-rotterdam</t>
  </si>
  <si>
    <t>https://www.jouwictvacature.nl/solliciteren?job=medior-feedback-engineer-bij-bartosz-bij-bartosz-utrecht</t>
  </si>
  <si>
    <t xml:space="preserve">Medior .NET Developer bij CE FinTech B.V. </t>
  </si>
  <si>
    <t>Droom jij in .NET en ben je klaar voor een nieuwe uitdaging? Bij CE FinTech B.V. krijg je de kans om de meest innovatieve software te ontwikkelen, op basis van state-of-the-art architectuur! Heb je al een aantal jaren ervaring met .NET en ben je ook nog eens klantgericht en leergierig? Dan zijn we zeker op zoek naar jou!</t>
  </si>
  <si>
    <t>https://www.jouwictvacature.nl/solliciteren?job=senior-net-developer-bij-ce-fintech-bv</t>
  </si>
  <si>
    <t xml:space="preserve">Ervaren .NET Developer bij Searchdog (Inhouse) </t>
  </si>
  <si>
    <t>https://www.jouwictvacature.nl/solliciteren?job=ervaren-net-developer-bij-searchdog-inhouse</t>
  </si>
  <si>
    <t xml:space="preserve">Senior symfony Developer </t>
  </si>
  <si>
    <t>https://www.jouwictvacature.nl/solliciteren?job=senior-drupal-developer</t>
  </si>
  <si>
    <t xml:space="preserve">Vacature medior PHP Developer </t>
  </si>
  <si>
    <t>https://www.jouwictvacature.nl/solliciteren?job=gedreven-medior-php-developer-bij-square</t>
  </si>
  <si>
    <t xml:space="preserve">Medior PHP Wordpress developer   </t>
  </si>
  <si>
    <t>Ben jij onze Medior PHP Wordpress developer?</t>
  </si>
  <si>
    <t>https://www.jouwictvacature.nl/solliciteren?job=medior-php-wordpress-developer-bij-bureau-vet</t>
  </si>
  <si>
    <t>Enthousiaste CakePHP developer regio Arnhem</t>
  </si>
  <si>
    <t>https://www.jouwictvacature.nl/solliciteren?job=backend-koning-gezocht-regio-arnhem-php</t>
  </si>
  <si>
    <t>Wil jij als ervaren Backend PHP Developer werken aan een innovatief Kinderopvang Tool vanuit hartje Haarlem?</t>
  </si>
  <si>
    <t>https://www.jouwictvacature.nl/solliciteren?job=senior-php-developer-13</t>
  </si>
  <si>
    <t xml:space="preserve">Senior Web Developer  </t>
  </si>
  <si>
    <t>Als Senior Web Developer werk je als digitale duizendpoot aan marketing campagnes binnen diverse Campagne Management Tools (o.a. Selligent Interactive Marketing).</t>
  </si>
  <si>
    <t>https://www.jouwictvacature.nl/solliciteren?job=senior-web-developer-bij-yourzine</t>
  </si>
  <si>
    <t>https://www.jouwictvacature.nl/solliciteren?job=senior-frontend-developer-javascript-bij-tradecast</t>
  </si>
  <si>
    <t>https://www.jouwictvacature.nl/solliciteren?job=medior-designer-bij-zeo</t>
  </si>
  <si>
    <t>https://www.jouwictvacature.nl/solliciteren?job=senior-back-end-developer-superbuddy-mean-stack</t>
  </si>
  <si>
    <t>Backend Developer bij Gappless | Java, Go, Rest</t>
  </si>
  <si>
    <t>Lijkt het je ook mooi om met de backend van Android apps aan de gang te gaan? Kom dan developen bij Gappless!</t>
  </si>
  <si>
    <t>https://www.jouwictvacature.nl/solliciteren?job=backend-developer-bij-gappless--java-go-rest-bij-gappless</t>
  </si>
  <si>
    <t>Incentro</t>
  </si>
  <si>
    <t>Junior Java Developer | Spring, JSP, Tomcat &amp; Apache</t>
  </si>
  <si>
    <t xml:space="preserve">Als jij een ambitieuze  developer bent, dan kan jij wel eens incentronaut worden. Want medewerkers van Incentro zijn geen medewerkers maar incentronauten. Een incentronaut is een personificatie van een werknemer van Incentro. Vrij, innovatief en enorm gelukkig! </t>
  </si>
  <si>
    <t>https://www.jouwictvacature.nl/solliciteren?job=junior-java-developer--spring-jsp-tomcat-en-apache</t>
  </si>
  <si>
    <t>https://www.jouwictvacature.nl/solliciteren?job=medior-agile-test-specialist-bij-bartosz-bij-bartosz-rotterdam</t>
  </si>
  <si>
    <t>Trainee Software Test Tool Expert bij Volant Groep</t>
  </si>
  <si>
    <t>Volant Groep is doorlopend op zoek naar trainees Software Testing!</t>
  </si>
  <si>
    <t>https://www.jouwictvacature.nl/solliciteren?job=trainee-software-test-tool-expert-bij-volant-groep</t>
  </si>
  <si>
    <t>Experienced Technical Consultant at USoft</t>
  </si>
  <si>
    <t>https://www.jouwictvacature.nl/solliciteren?job=experienced-technical-consultant-at-usoft-bij-usoft</t>
  </si>
  <si>
    <t>Als Junior Java Developer ben je verantwoordelijk voor de realisatie van software oplossingen. Afhankelijk van jouw ervaring ben je in het project betrokken bij het opstellen van de functionele eisen tot aan het begeleiden van de acceptatietest.</t>
  </si>
  <si>
    <t>https://www.jouwictvacature.nl/solliciteren?job=junior-java-developer-3</t>
  </si>
  <si>
    <t>Senior Java Ontwikkelaar | Spring, Hibernate, Maven, JBoss &amp; WebSphere</t>
  </si>
  <si>
    <t>https://www.jouwictvacature.nl/solliciteren?job=senior-java-ontwikkelaar--spring-hibernate-maven-jboss-en-websphere-bi</t>
  </si>
  <si>
    <t>Medior .NET Developer bij Utilize | Werken met de nieuwste technieken?</t>
  </si>
  <si>
    <t>https://www.jouwictvacature.nl/solliciteren?job=medior-net-developer-bij-utilize--werken-met-de-nieuwste-technieken</t>
  </si>
  <si>
    <t xml:space="preserve">junior symfony Developer  </t>
  </si>
  <si>
    <t>Binnen één van onze teams hebben wij een vacature voor een Junior symfony developer!</t>
  </si>
  <si>
    <t>https://www.jouwictvacature.nl/solliciteren?job=junior-symfony-developer-bij-vdminl</t>
  </si>
  <si>
    <t>Medior Java Developer bij Gappless te Halfweg</t>
  </si>
  <si>
    <t>https://www.jouwictvacature.nl/solliciteren?job=medior-java-developer-bij-gappless-te-halfweg-bij-gappless</t>
  </si>
  <si>
    <t>Starting Machine Learning Developer at Trifork in Amsterdam</t>
  </si>
  <si>
    <t>https://www.jouwictvacature.nl/solliciteren?job=starting-machine-learning-developer-at-trifork-in-amsterdam-bij-trifor</t>
  </si>
  <si>
    <t>https://www.jouwictvacature.nl/solliciteren?job=medior-java-developer--spring-grails-wicket-javascript-scala-bij-dpa-g-4</t>
  </si>
  <si>
    <t>https://www.jouwictvacature.nl/solliciteren?job=senior-mobile-developer--ios-android-phonegap-objective-c-java-swift-b-2</t>
  </si>
  <si>
    <t>https://www.jouwictvacature.nl/solliciteren?job=junior-software-engineer-3</t>
  </si>
  <si>
    <t>https://www.jouwictvacature.nl/solliciteren?job=junior-softwareontwikkelaar-bij-betabit-regio-eindhoven</t>
  </si>
  <si>
    <t>Senior .NET Developer met affiniteit voor onderwijs</t>
  </si>
  <si>
    <t>https://www.jouwictvacature.nl/solliciteren?job=senior-net-developer-met-affiniteit-voor-onderwijs</t>
  </si>
  <si>
    <t>https://www.jouwictvacature.nl/solliciteren?job=technisch-consultant-bij-ortec-</t>
  </si>
  <si>
    <t>Zeo is een full service online marketingbureau. We groeien sterk en momenteel werken we met 35 A-spelers aan de online marketingcampagnes van honderden bedrijven. Daarnaast bouwen we websites voor ze in WordPress en Magento. Onze webstudio krijgt steeds meer projecten en daarvoor zoeken we een backend developer Magento!</t>
  </si>
  <si>
    <t>https://www.jouwictvacature.nl/solliciteren?job=medior-magento-developer-bij-zeo-</t>
  </si>
  <si>
    <t>Zeo is een full service online marketingbureau. We groeien sterk en momenteel werken we met 35 A-spelers aan de online marketingcampagnes van honderden bedrijven. Daarnaast bouwen we websites voor ze in WordPress en Magento. Onze webstudio krijgt steeds meer projecten en daarvoor zoeken we een backend developer!</t>
  </si>
  <si>
    <t>https://www.jouwictvacature.nl/solliciteren?job=backend-developer-bij-zeo</t>
  </si>
  <si>
    <t>https://www.jouwictvacature.nl/solliciteren?job=junior-magento-developer-bij-zeo-bij-zeo</t>
  </si>
  <si>
    <t>Dotcontrol</t>
  </si>
  <si>
    <t>Medior Front-end ontwikkelaar met ReactJS ervaring</t>
  </si>
  <si>
    <t>Dotcontrol is op zoek naar een Front-end Developer! Je komt te werken in een van de tofste panden van de wereld (volgens UNESCO tenminste), de Van Nelle Fabriek in Rotterdam. We werken in multidisciplinaire SCRUM-teams. Hierin zul je samen met onze front- end, backend developers, designers en Growth Hackers, werken aan awardwinning digitale concepten voor A-merken.</t>
  </si>
  <si>
    <t>https://www.jouwictvacature.nl/solliciteren?job=medior-front-end-ontwikkelaar-met-reactjs-ervaring</t>
  </si>
  <si>
    <t xml:space="preserve">Medior Javascript Ontwikkelaar </t>
  </si>
  <si>
    <t>https://www.jouwictvacature.nl/solliciteren?job=medior-javascript-ontwikkelaar-bij-dotcontrol</t>
  </si>
  <si>
    <t>Medior Creatieve Front-end Developer</t>
  </si>
  <si>
    <t>https://www.jouwictvacature.nl/solliciteren?job=medior-creative-front-end-developer-bij-dotcontrol</t>
  </si>
  <si>
    <t xml:space="preserve">Senior Creatieve Front-end Developer </t>
  </si>
  <si>
    <t>https://www.jouwictvacature.nl/solliciteren?job=medior-creatieve-front-end-developer-2</t>
  </si>
  <si>
    <t xml:space="preserve">Senior Front-end ontwikkelaar met ReactJS ervaring </t>
  </si>
  <si>
    <t>https://www.jouwictvacature.nl/solliciteren?job=senior-front-end-ontwikkelaar-met-reactjs-ervaring-bij-dotcontrol</t>
  </si>
  <si>
    <t>https://www.jouwictvacature.nl/solliciteren?job=seniorjavascript-ontwikkelaar-bij-dotcontrol</t>
  </si>
  <si>
    <t>Medior ReactJS Ontwikkelaar</t>
  </si>
  <si>
    <t>https://www.jouwictvacature.nl/solliciteren?job=medior-reactjs-ontwikkelaar-bij-dotcontrol</t>
  </si>
  <si>
    <t>MAASTRICHT</t>
  </si>
  <si>
    <t xml:space="preserve">Medior Creatieve Front-end Developer </t>
  </si>
  <si>
    <t>https://www.jouwictvacature.nl/solliciteren?job=medior-creatieve-front-end-developer-3</t>
  </si>
  <si>
    <t>https://www.jouwictvacature.nl/solliciteren?job=senior-creative-front-end-developer-bij-dotcontrol</t>
  </si>
  <si>
    <t>Kaartje2go</t>
  </si>
  <si>
    <t>Frontend Developer bij Kaartje2go</t>
  </si>
  <si>
    <t>Als Frontend developer bij Kaartje2go ben jij degene die ervoor zorgt dat klanten probleemloos kunnen bestellen. Je maakt onderdeel uit van een prachtig team in de binnenstad van Zwolle. Jij doet al die dingen die klanten niet bewust merken, maar die wel van cruciaal belang zijn voor een perfect lopend bestelproces en een tevreden gevoel.</t>
  </si>
  <si>
    <t>https://www.jouwictvacature.nl/solliciteren?job=frontend-developer-bij-kaartje2go</t>
  </si>
  <si>
    <t>Ervaren R&amp;D Software Developer bij USoft</t>
  </si>
  <si>
    <t>Werk je het liefst aan de ontwikkeling van een product en zorg jij altijd voor betere prestaties? Kom werken bij USoft!</t>
  </si>
  <si>
    <t>https://www.jouwictvacature.nl/solliciteren?job=ervaren-rend-software-developer-bij-usoft-bij-usoft</t>
  </si>
  <si>
    <t xml:space="preserve">Senior Feedback Engineer | Exploratory Testing, Context Driven Testing, BDD, SbE, TDD </t>
  </si>
  <si>
    <t>https://www.jouwictvacature.nl/solliciteren?job=senior-feedback-engineer--exploratory-testing-context-driven-testing-b-3</t>
  </si>
  <si>
    <t>Gezocht: VB.NET Developer die de overstap naar C# &amp; ASP.NET wil maken</t>
  </si>
  <si>
    <t>https://www.jouwictvacature.nl/solliciteren?job=ambitieuze-developer-net-applicaties-voor-mooie-klanten-als-de-eftelin-2</t>
  </si>
  <si>
    <t>https://www.jouwictvacature.nl/solliciteren?job=front-end-developer-angular-2-</t>
  </si>
  <si>
    <t>Versterking gezocht om mee te bouwen aan een SaaS platform!</t>
  </si>
  <si>
    <t>https://www.jouwictvacature.nl/solliciteren?job=medior-front-end-developer-bij-gappless</t>
  </si>
  <si>
    <t xml:space="preserve">Senior Front-end Developer bij CRV </t>
  </si>
  <si>
    <t>https://www.jouwictvacature.nl/solliciteren?job=senior-front-end-developer-bij-crv-bij-crv</t>
  </si>
  <si>
    <t>Senior Web Developer</t>
  </si>
  <si>
    <t>https://www.jouwictvacature.nl/solliciteren?job=senior-web-developer-bij-coas</t>
  </si>
  <si>
    <t>Junior Front-end Developer (Breed inzetbare codeklopper (36-40uur)</t>
  </si>
  <si>
    <t>Ben jij een ambitieuze Front-end Developer? Voel jij je uitgedaagd door complexe Front-end vraagstukken? Dan drinken we graag een kop koffie met je om je meer te vertellen over ons bedrijf._x000D_
_x000D_
Webbeat werkt met een enthousiast team aan eigen producten en slimme online oplossingen voor klanten. We zijn gespecialiseerd in innovatieve webapplicaties die op grote (internationale) schaal worden toegepast. Binnen het team zijn alle technische disciplines goed vertegenwoordigd, maar Front-end versterking is zeer welkom</t>
  </si>
  <si>
    <t>https://www.jouwictvacature.nl/solliciteren?job=front-end-developer-breed-inzetbare-codeklopper-36-40uur</t>
  </si>
  <si>
    <t>https://www.jouwictvacature.nl/solliciteren?job=seniorjavascript-developer-bij-we4sea</t>
  </si>
  <si>
    <t>Als front-end developer speel je een belangrijke rol in de ontwikkeling van onze online systemen. Je implementeert nieuwe ontwerpen en wijzigingen in een nette en overzichtelijke vorm.</t>
  </si>
  <si>
    <t>https://www.jouwictvacature.nl/solliciteren?job=senior-front-end-developer-bij-webshop-indi</t>
  </si>
  <si>
    <t>https://www.jouwictvacature.nl/solliciteren?job=senior-java-developer--hibernate-jpa-spring-mvc-oracle-bij-dpa-geos-4</t>
  </si>
  <si>
    <t>Experienced R&amp;D Software Developer at USoft</t>
  </si>
  <si>
    <t xml:space="preserve">Do you prefer to work on the development of a product and are you always working for a better performance? Come work at USoft!_x000D_
</t>
  </si>
  <si>
    <t>https://www.jouwictvacature.nl/solliciteren?job=experienced-rend-software-developer-at-usoft-bij-usoft</t>
  </si>
  <si>
    <t>Senior Java Developer | Spring, Hibernate, Maven, JBoss &amp; WebSphere</t>
  </si>
  <si>
    <t>https://www.jouwictvacature.nl/solliciteren?job=senior-java-developer--spring-hibernate-maven-jboss-en-websphere-bij-m</t>
  </si>
  <si>
    <t>https://www.jouwictvacature.nl/solliciteren?job=senior-java-developer-bij-dpa-geos-bij-dpa-geos-3</t>
  </si>
  <si>
    <t>Senior Testanalist bij Bartosz</t>
  </si>
  <si>
    <t>https://www.jouwictvacature.nl/solliciteren?job=senior-testanalist-bij-bartosz-bij-bartosz-amsterdam</t>
  </si>
  <si>
    <t>Senior (4+ jaar) Developer bij Infent | Auto van de zaak!</t>
  </si>
  <si>
    <t>https://www.jouwictvacature.nl/solliciteren?job=senior-4-jaar-developer-bij-infent--auto-van-de-zaak</t>
  </si>
  <si>
    <t>.Net Architect bij Sogeti in Capelle aan den IJssel</t>
  </si>
  <si>
    <t>https://www.jouwictvacature.nl/solliciteren?job=net-lead-engineer-bij-sogeti-3</t>
  </si>
  <si>
    <t>Medior .NET Developer bij Utilize (inhouse) | Mogelijkheid voor 32 of 36 uur</t>
  </si>
  <si>
    <t>https://www.jouwictvacature.nl/solliciteren?job=medior-net-developer-bij-utilize-inhouse--mogelijkheid-voor-32-of-36-u</t>
  </si>
  <si>
    <t xml:space="preserve">Junior Front-end/Javascript Developer </t>
  </si>
  <si>
    <t>https://www.jouwictvacature.nl/solliciteren?job=junior-front-endjavascript-developer-bij-qualogy</t>
  </si>
  <si>
    <t xml:space="preserve">Medior Front-end Developer (Breed inzetbare codeklopper (36-40uur) </t>
  </si>
  <si>
    <t>https://www.jouwictvacature.nl/solliciteren?job=front-end-developer-breed-inzetbare-codeklopper-36-40uur-2</t>
  </si>
  <si>
    <t xml:space="preserve">Junior Front-end Software Developer </t>
  </si>
  <si>
    <t>https://www.jouwictvacature.nl/solliciteren?job=junior-front-end-software-developer-</t>
  </si>
  <si>
    <t>Senior front-end developer bij Blue Carpet</t>
  </si>
  <si>
    <t>https://www.jouwictvacature.nl/solliciteren?job=senior-front-end-developer-bij-blue-carpet-bij-blue-carpet</t>
  </si>
  <si>
    <t>https://www.jouwictvacature.nl/solliciteren?job=junior-fullstack-developer-bij-nobears</t>
  </si>
  <si>
    <t>https://www.jouwictvacature.nl/solliciteren?job=senior-front-end-developer-bij-codarts-hogeschool-voor-de-kunsten-bij-</t>
  </si>
  <si>
    <t>Medior Software developer | JEE, Spring, Hibernate, Maven, JBoss</t>
  </si>
  <si>
    <t>https://www.jouwictvacature.nl/solliciteren?job=medior-software-developer--jee-spring-hibernate-maven-jboss-bij-msg-li</t>
  </si>
  <si>
    <t xml:space="preserve">Traineeship Agile Test Engineer bij Bartosz </t>
  </si>
  <si>
    <t>https://www.jouwictvacature.nl/solliciteren?job=traineeship-agile-test-engineer-bij-bartosz-bij-bartosz-eindhoven</t>
  </si>
  <si>
    <t>Senior Mobile Developer in Amsterdam | IOT, Android, iOS, iPhone SDK</t>
  </si>
  <si>
    <t>Voor ons mobile ontwikkelteam zijn we op zoek naar een senior ontwikkelaar die kennis en kunde heeft van zowel Android, iOS als iPhone SDK. Ben jij diegene?</t>
  </si>
  <si>
    <t>https://www.jouwictvacature.nl/solliciteren?job=senior-mobile-developer-in-amsterdam--iot-android-ios-iphone-sdk-bij-d</t>
  </si>
  <si>
    <t xml:space="preserve">U heeft een voorbeeldfunctie en inspireert studenten van de opleiding Technische Informatica in Breda. Van softwareontwikkeling en coderen wordt u enthousiast. U heeft ervaring opgedaan in de rol van programmeursysteemontwikkelaar en u kijkt ernaar uit deze kennis over te brengen op studenten. Lesgeven gaat u goed af. Ook de rol van begeleider is u op het lijf geschreven. U begeleidt studenten bij projecten binnen de opleiding en bij hun stage- en afstudeeropdrachten in het bedrijfsleven. U vindt het fijn dat studenten een beroep op u doen en dat u ze van advies kunt voorzien. Uw hart gaat sneller slaan van nieuwe technologieën. Daar bent u dan ook continu naar op zoek. Op basis van deze nieuwe technologieën ontwikkelt u onderwijsmateriaal. Ook onderhoudt u contacten met bedrijven en externe deskundigen. Hiermee houdt u het onderwijs up-to-date. </t>
  </si>
  <si>
    <t>https://www.jouwictvacature.nl/solliciteren?job=docent-technische-informatica</t>
  </si>
  <si>
    <t>https://www.jouwictvacature.nl/solliciteren?job=medior--senior-net-developer-cnet-aspnet-mvc-azure-2</t>
  </si>
  <si>
    <t>https://www.jouwictvacature.nl/solliciteren?job=software-engineer-bij-ecare-2</t>
  </si>
  <si>
    <t>Senior C# Developer met affiniteit voor Blockchain, Machine Learning en Security</t>
  </si>
  <si>
    <t>https://www.jouwictvacature.nl/solliciteren?job=senior-c-developer-met-affiniteit-voor-blockchain-machine-learning-en-</t>
  </si>
  <si>
    <t xml:space="preserve">Senior Webdeveloper </t>
  </si>
  <si>
    <t>https://www.jouwictvacature.nl/solliciteren?job=senior-webdeveloper--fulltime-bij-koekenpeer</t>
  </si>
  <si>
    <t xml:space="preserve">Medior Laravel PHP developer   </t>
  </si>
  <si>
    <t>https://www.jouwictvacature.nl/solliciteren?job=medior-laravel-php-developer-bij-divtag</t>
  </si>
  <si>
    <t>https://www.jouwictvacature.nl/solliciteren?job=senior-front-end-developer-bij-mplus</t>
  </si>
  <si>
    <t>Senior Front-end Developer met ReactJS ervaring</t>
  </si>
  <si>
    <t>https://www.jouwictvacature.nl/solliciteren?job=senior-front-end-developer-met-reactjs-ervaring-bij-bkv-groep</t>
  </si>
  <si>
    <t xml:space="preserve">Senior Front-end Developer met ReactJS ervaring </t>
  </si>
  <si>
    <t>https://www.jouwictvacature.nl/solliciteren?job=senior-front-end-developer-met-reactjs-ervaring-bij-oo-shopping</t>
  </si>
  <si>
    <t>https://www.jouwictvacature.nl/solliciteren?job=medior-web-developer-met-front-end-focus-bij-sumedia</t>
  </si>
  <si>
    <t>https://www.jouwictvacature.nl/solliciteren?job=senior-front-end-developer-bij-owlin</t>
  </si>
  <si>
    <t xml:space="preserve">Senior Integratie Specialist | MuleSoft </t>
  </si>
  <si>
    <t>Kom je als Integratie Specialist bij ons werken dan ga je aan de slag met Mulesoft, kan je rekenen op een goed salaris en vorm je onderdeel van een hecht team. Je krijgt alle ruimte om je kennis up-to-date te houden. Wij komen graag in contact met zelfverzekerde en deskundige mensen die een nieuwe stap willen zetten in hun carrière.</t>
  </si>
  <si>
    <t>https://www.jouwictvacature.nl/solliciteren?job=senior-integratie-specialist--mulesoft-oracle-soa-suite-wso2-websphere-2</t>
  </si>
  <si>
    <t>Backend Developer bij Gappless te Halfweg</t>
  </si>
  <si>
    <t>https://www.jouwictvacature.nl/solliciteren?job=backend-developer-bij-gappless-te-halfweg-bij-gappless</t>
  </si>
  <si>
    <t>Machine Learning Developer | Java, Spring Boot, Hibernate, TensorFlow</t>
  </si>
  <si>
    <t>https://www.jouwictvacature.nl/solliciteren?job=machine-learning-developer--java-spring-boot-hibernate-tensorflow-bij-</t>
  </si>
  <si>
    <t>AF</t>
  </si>
  <si>
    <t>Trainee Software Ontwikkeling bij Volant Groep</t>
  </si>
  <si>
    <t>Volant Groep is doorlopend op zoek naar trainees software ontwikkeling!</t>
  </si>
  <si>
    <t>https://www.jouwictvacature.nl/solliciteren?job=trainee-software-ontwikkeling-bij-volant-groep</t>
  </si>
  <si>
    <t>R&amp;D Software Developer bij USoft</t>
  </si>
  <si>
    <t>https://www.jouwictvacature.nl/solliciteren?job=rend-software-developer-bij-usoft</t>
  </si>
  <si>
    <t>plauti</t>
  </si>
  <si>
    <t xml:space="preserve">Your job is to maintain and improve the current applications by adding your thoughts and quality to it. </t>
  </si>
  <si>
    <t>https://www.jouwictvacature.nl/solliciteren?job=medior-java-developer-bij-plauti-in-arnhem</t>
  </si>
  <si>
    <t>Junior Java/Web Developer in automotive-sector | MS SQL, Oracle, JSP</t>
  </si>
  <si>
    <t>https://www.jouwictvacature.nl/solliciteren?job=junior-javaweb-developer-in-automotive-sector--ms-sql-oracle-jspjavawe</t>
  </si>
  <si>
    <t>Starting Innovative Backend Software Engineer at Trifork</t>
  </si>
  <si>
    <t>Are you a Starting Backend Software Engineer and do you want to work at the most innovative technology agency in The Netherlands? Come work at Trifork!</t>
  </si>
  <si>
    <t>https://www.jouwictvacature.nl/solliciteren?job=starting-innovative-backend-software-engineer-at-trifork-bij-trifork</t>
  </si>
  <si>
    <t>Medior Java/Web Developer bij Sofico</t>
  </si>
  <si>
    <t>https://www.jouwictvacature.nl/solliciteren?job=medior-javaweb-developer-bij-sofico-bij-sofico</t>
  </si>
  <si>
    <t>Medior Java Developer bij Bottomline</t>
  </si>
  <si>
    <t>https://www.jouwictvacature.nl/solliciteren?job=medior-java-developer-bij-bottomline-bij-bottomline</t>
  </si>
  <si>
    <t>R&amp;D Software Developer at USoft</t>
  </si>
  <si>
    <t>https://www.jouwictvacature.nl/solliciteren?job=rend-software-developer-at-usoft</t>
  </si>
  <si>
    <t xml:space="preserve">Senior .NET ontwikkelaar </t>
  </si>
  <si>
    <t>https://www.jouwictvacature.nl/solliciteren?job=senior-net-ontwikkelaar-</t>
  </si>
  <si>
    <t>Senior .NET Developer met communicatieve skills</t>
  </si>
  <si>
    <t>https://www.jouwictvacature.nl/solliciteren?job=senior-net-developer-met-communicatieve-skills</t>
  </si>
  <si>
    <t>Adecs-airinfra</t>
  </si>
  <si>
    <t>Airport .NET C# web developer met een passie voor software-architectuur</t>
  </si>
  <si>
    <t xml:space="preserve">_x000D_
_x000D_
Als ontwikkelaar bij Adecs Airinfra werk je samen met je collega's aan uitbreidingen en verbetering van bestaande producten voor regionale luchthavens in binnen- en buitenland. Het betreft hier de ontwikkeling van informatie, visualisatie, tracking en registratiesystemen. Dit alles binnen een team van 6 medewerkers met korte lijnen, informele cultuur en een goede teamgeest.  In overleg met de opdrachtgever worden voor de bestaande software nieuwe functionaliteiten gedefinieerd en mede door jou gerealiseerd. Voor de nieuw te ontwikkelen programmatuur voor luchthavens wordt Agile gewerkt. Naast software ontwikkeling ben je betrokken in de verdere ontwikkeling van een product waarbij jouw specifiek aandachtsgebied de applicatie architectuur zal zijn._x000D_
</t>
  </si>
  <si>
    <t>https://www.jouwictvacature.nl/solliciteren?job=airport-net-c-web-developer-met-een-passie-voor-software-architectuur</t>
  </si>
  <si>
    <t>https://www.jouwictvacature.nl/solliciteren?job=lead-net-developer-bij-4dotnet-2</t>
  </si>
  <si>
    <t>Met jouw kennis van de industrie en ICT oplossingen ondersteun je de Sales bij de uitwerking van projectvoorstellen._x000D_
_x000D_
Je vult informatieverzoeken, RPF’s en vragenlijsten in en spreekt met prospects en klanten om hun behoefte in kaart te brengen en te vertalen naar oplossingen. Hierbij houd je rekening met de strategische bedrijfsdoelstellingen van de klant op korte en lange termijn._x000D_
_x000D_
Deze activiteiten gebeuren in nauw overleg met de Sales en samen identificeren jullie kansen en definieer je strategieën._x000D_
_x000D_
Je geeft demonstraties, presentaties en workshops en beheert de Proof Of Concept (POCs)._x000D_
_x000D_
Je onderzoekt mogelijke conceptalternatieven en overlegt hierover met partners en/of collega’s om de juiste oplossingen uit te werken en functioneel toe te lichten. In je ontwerp geef je niet alleen blijk van een grondige functionele kennis en ervaring, maar ook van creativiteit en vooruitziendheid._x000D_
_x000D_
Je beschikt over actuele kennis en ervaring en deelt deze met je collega’s.</t>
  </si>
  <si>
    <t>https://www.jouwictvacature.nl/solliciteren?job=pre-sales--solution-architect</t>
  </si>
  <si>
    <t>https://www.jouwictvacature.nl/solliciteren?job=senior-softwareontwikkelaar-bij-betabit-regio-eindhoven</t>
  </si>
  <si>
    <t>https://www.jouwictvacature.nl/solliciteren?job=seniorjavascript-developer-bij-rivium-business-solutions</t>
  </si>
  <si>
    <t xml:space="preserve">Medior Frontend Developer bij Kaartje2go </t>
  </si>
  <si>
    <t>https://www.jouwictvacature.nl/solliciteren?job=medior-frontend-developer-bij-kaartje2go</t>
  </si>
  <si>
    <t xml:space="preserve">Senior technische Front-end Developer </t>
  </si>
  <si>
    <t>https://www.jouwictvacature.nl/solliciteren?job=senior-technische-front-end-developer-bij-not-on-paper</t>
  </si>
  <si>
    <t>https://www.jouwictvacature.nl/solliciteren?job=medior-javascript-developer-superbuddy-angularnodejs-</t>
  </si>
  <si>
    <t>https://www.jouwictvacature.nl/solliciteren?job=web-developer-met-front-end-focus-bij-sumedia</t>
  </si>
  <si>
    <t>https://www.jouwictvacature.nl/solliciteren?job=front-end-developer-bij-codarts-hogeschool-voor-de-kunsten-2</t>
  </si>
  <si>
    <t>Junior FullStack Software Ontwikkelaar bij Simaxx</t>
  </si>
  <si>
    <t>https://www.jouwictvacature.nl/solliciteren?job=junior-fullstack-software-ontwikkelaar-bij-simaxx</t>
  </si>
  <si>
    <t>Medior Full Stack Developer bij Het ConsultancyHuis</t>
  </si>
  <si>
    <t>Als Medior Full Stack developer aan de slag bij dé topwerkgever en topdienstverlener van Nederland?</t>
  </si>
  <si>
    <t>https://www.jouwictvacature.nl/solliciteren?job=medior-full-stack-developer-bij-het-consultancyhuis-bij-het-consultanc</t>
  </si>
  <si>
    <t>Experienced Software Engineer at Axual | Java, Scala, Apache Kafka, Spring</t>
  </si>
  <si>
    <t>https://www.jouwictvacature.nl/solliciteren?job=experienced-software-engineer-at-axual--java-scala-apache-kafka-spring</t>
  </si>
  <si>
    <t>Integratie Specialist</t>
  </si>
  <si>
    <t>Technisch-complexe systemen ontwerpen, ontwikkelen én beheren. Aan de slag met innovatieve projecten, op locatie bij onze klanten in diverse branches. Geef je carrière een nieuwe impuls, als Integratiespecialist bij Qualogy.</t>
  </si>
  <si>
    <t>https://www.jouwictvacature.nl/solliciteren?job=integratie-specialist</t>
  </si>
  <si>
    <t>https://www.jouwictvacature.nl/solliciteren?job=solution-architect</t>
  </si>
  <si>
    <t>Senior Java Developer | Spring, JSP, Tomcat &amp; Apache</t>
  </si>
  <si>
    <t xml:space="preserve">Als zéér ervaren Java developer kun je alsnog incentronaut worden. Want medewerkers van Incentro zijn geen medewerkers maar incentronauten. Een incentronaut is een personificatie van een werknemer van Incentro. Vrij, innovatief en enorm gelukkig! </t>
  </si>
  <si>
    <t>https://www.jouwictvacature.nl/solliciteren?job=seniorjava-developer--spring-jsp-tomcat-en-apache</t>
  </si>
  <si>
    <t>Sogeti Nederland B.V.</t>
  </si>
  <si>
    <t>Medior .Net Engineer bij Sogeti in Eindhoven</t>
  </si>
  <si>
    <t>https://www.jouwictvacature.nl/solliciteren?job=net-engineer-bij-sogeti-5</t>
  </si>
  <si>
    <t>Ervaren .NET webdeveloper</t>
  </si>
  <si>
    <t>The People Group</t>
  </si>
  <si>
    <t xml:space="preserve">Voor de uitbreiding van ons ontwikkelteam zijn we op zoek naar meerdere Full Stack Developers. Je voegt je bij een enthousiast en ambitieus ontwikkelteam en je haalt met een gezonde drive het beste uit jezelf en daarmee uit ons team!_x000D_
Als Full Stack Developer werk je mee aan nieuwe applicaties en de uitbreiding en het onderhoud van onze bestaande applicaties. Daarnaast heb je een goede kennis van de Engelse taal en ben je communicatief vaardig._x000D_
</t>
  </si>
  <si>
    <t>https://www.jouwictvacature.nl/solliciteren?job=medior-fullstack-developer-2</t>
  </si>
  <si>
    <t>https://www.jouwictvacature.nl/solliciteren?job=senior-wordpress-developer-bij-zeo</t>
  </si>
  <si>
    <t xml:space="preserve">Medior Fullstack Developer  (English)   </t>
  </si>
  <si>
    <t>Do you want to work with the latest tools and technologies? Become part of our motivated and talented team, and discover what the future holds</t>
  </si>
  <si>
    <t>https://www.jouwictvacature.nl/solliciteren?job=medior-fullstack-developer-english-bij-the-people-group</t>
  </si>
  <si>
    <t xml:space="preserve">Junior Full Stack Developer </t>
  </si>
  <si>
    <t>Ben jij een Full-Stack Developer met front-end skills? Bij Maximum ontwikkel je in een leuk team nieuwe campagnes, websites en apps en verbeter je continu de user experience ervan. Dit doe je voor grote klanten zoals het Ministerie van Defensie, VodafoneZiggo en de Belastingdienst. Nieuwsgierig? Kom kennismaken!</t>
  </si>
  <si>
    <t>https://www.jouwictvacature.nl/solliciteren?job=junior-full-stack-developer-bij-maximumnl</t>
  </si>
  <si>
    <t>Junior PHP developer</t>
  </si>
  <si>
    <t>https://www.jouwictvacature.nl/solliciteren?job=junior-php-developer-bij-cepo</t>
  </si>
  <si>
    <t>Connection Systems</t>
  </si>
  <si>
    <t>VENHUIZEN</t>
  </si>
  <si>
    <t xml:space="preserve">Medior PHP Developer bij Connection Systems    </t>
  </si>
  <si>
    <t>Wil jij Nederland veiliger maken en kan je creatief denken? Wil jij werken aan het bouwen van een GUI waarmee je collega's op kantoor en in het veld hun werk efficiënter kunnen uitvoeren? Klinkt werken in een informeel team op een vaste werkplek in het prachtige West-Friesland jou als muziek in de oren? Kom dan naar ons voor de functie van: Medior PHP Developer</t>
  </si>
  <si>
    <t>https://www.jouwictvacature.nl/solliciteren?job=medior-php-developer-bij-connection-systems-bij-connection-systems</t>
  </si>
  <si>
    <t>DirectLease</t>
  </si>
  <si>
    <t>OLDENZAAL</t>
  </si>
  <si>
    <t>Senior Front-end developer bij DirectLease</t>
  </si>
  <si>
    <t>Als front-end developer bij DirectLease ben je continu bezig met het verbeteren van onze sites voor de beste klantervaring. _x000D_
Of de website of applicatie wordt gebruikt op een desktop of mobiele telefoon, jij brengt de prestaties naar een hoger niveau. _x000D_
Je vervult in deze functie een belangrijke rol in het creatieve proces, je zorgt voor implementatie van het design en bent verantwoordelijk voor een goede UX._x000D_
Je werkt samen met de collega’s van het online team dat momenteel bestaat uit zes collega’s die zorgdragen voor ontwikkeling, _x000D_
beheer en onderhoud van de internationale websites, de onderliggende data en de online marketing.</t>
  </si>
  <si>
    <t>https://www.jouwictvacature.nl/solliciteren?job=senior-front-end-developer-bij-directlease-bij-directlease</t>
  </si>
  <si>
    <t xml:space="preserve">Ervaren NodeJS Developer </t>
  </si>
  <si>
    <t>https://www.jouwictvacature.nl/solliciteren?job=ervaren-angularjs-developer-</t>
  </si>
  <si>
    <t>Medior Animation Developer</t>
  </si>
  <si>
    <t>https://www.jouwictvacature.nl/solliciteren?job=medior-animation-developer-bij-qban</t>
  </si>
  <si>
    <t>Werk aan de Muur</t>
  </si>
  <si>
    <t>Junior front-end developer bij Werk aan de Muur!</t>
  </si>
  <si>
    <t>Kom het verschil maken als front-end developer bij Werk aan de Muur!</t>
  </si>
  <si>
    <t>https://www.jouwictvacature.nl/solliciteren?job=junior-front-end-developer-bij-werk-aan-de-muur</t>
  </si>
  <si>
    <t>In–house Java Developer in Rijswijk</t>
  </si>
  <si>
    <t xml:space="preserve">Word jij liever niet gedetacheerd, maar werk je graag op een vaste plek? Dan is dit jouw vacature! </t>
  </si>
  <si>
    <t>https://www.jouwictvacature.nl/solliciteren?job=inhouse-java-developer-in-rijswijk</t>
  </si>
  <si>
    <t>Educom</t>
  </si>
  <si>
    <t>Traineeship Application/Software Development JAVA/C#(.NET)/PHP.</t>
  </si>
  <si>
    <t>https://www.jouwictvacature.nl/solliciteren?job=traineeship-bij-educom-bij-educom</t>
  </si>
  <si>
    <t>FindWhere</t>
  </si>
  <si>
    <t>AMSTERDAM-ZUIDOOST</t>
  </si>
  <si>
    <t>Medior Developer in Amsterdam | Java, RDBMS, PostgreSQL, JBoss, Hibernate</t>
  </si>
  <si>
    <t>FindWhere is expanding its development team! Are you that bright and motivated Java developer that we are looking for to extend our development team taking FindWhere to the next level?</t>
  </si>
  <si>
    <t>https://www.jouwictvacature.nl/solliciteren?job=medior-developer-in-amsterdam--java-rdbms-postgresql-jboss-hibernate-b</t>
  </si>
  <si>
    <t>Medior Embedded Developer in Amsterdam | C/C++, Java, ARM based processoren</t>
  </si>
  <si>
    <t>https://www.jouwictvacature.nl/solliciteren?job=medior-embedded-developer-in-amsterdam--cc-java-arm-based-processoren-</t>
  </si>
  <si>
    <t>Senior Microsoft SharePoint Specialist bij Sogeti in Capelle</t>
  </si>
  <si>
    <t>https://www.jouwictvacature.nl/solliciteren?job=medior-microsoft-sharepoint-specialist-bij-sogeti-2</t>
  </si>
  <si>
    <t>https://www.jouwictvacature.nl/solliciteren?job=medior-php-developer-met-oog-voor-data</t>
  </si>
  <si>
    <t>Medior UI/UX Designer / Front-end</t>
  </si>
  <si>
    <t>https://www.jouwictvacature.nl/solliciteren?job=medior-uiux-designer--front-end</t>
  </si>
  <si>
    <t>Medior Backend Developer bij Gappless te Halfweg</t>
  </si>
  <si>
    <t>https://www.jouwictvacature.nl/solliciteren?job=medior-backend-developer-bij-gappless-te-halfweg-bij-gappless</t>
  </si>
  <si>
    <t xml:space="preserve">Junior Java Software Developer | Inhouse + deels werken vanuit huis </t>
  </si>
  <si>
    <t>Wij zoeken een ondernemende, klantgerichte developer die ConsultAssistent verder helpt te ontwikkelen tot een nóg slimmer digitaal hulpmiddel zodat Big Piles of Data beschikbaar komen die tot voorspellende inzichten leiden. Is dit wat voor jou?</t>
  </si>
  <si>
    <t>https://www.jouwictvacature.nl/solliciteren?job=medior-java-software-developer--inhouse--deels-werken-vanuit-huis-2</t>
  </si>
  <si>
    <t xml:space="preserve">Medior Java Developer bij HybrIT! </t>
  </si>
  <si>
    <t>https://www.jouwictvacature.nl/solliciteren?job=medior-java-developer-bij-hybrit-2</t>
  </si>
  <si>
    <t>Mactwin</t>
  </si>
  <si>
    <t>HETEREN</t>
  </si>
  <si>
    <t>Omdat je een kick krijgt van veel verantwoordelijkheid en niet slechts een klein radertje in het geheel wilt zijn. En die kans krijg je als Lead Developer bij Mactwin. Je geeft leiding aan een compact team van gespecialiseerde offshore ontwikkelaars en spart direct met de CEO om gestalte te geven aan visie. Hierdoor sta je aan de basis van applicaties die een merkbare invloed hebben in alle lagen van onze organisatie én die van onze toonaangevende opdrachtgevers._x000D_
_x000D_
Projectmanagement is je tweede natuur. En waar die natuur nog een beetje hulp kan gebruiken, bieden we je graag de mogelijkheid om dit aspect verder te ontwikkelen met de nodige opleiding</t>
  </si>
  <si>
    <t>https://www.jouwictvacature.nl/solliciteren?job=lead-developer-bij-mactwin</t>
  </si>
  <si>
    <t xml:space="preserve">Junior Webdeveloper bij Connection Systems  </t>
  </si>
  <si>
    <t>Wil jij Nederland veiliger maken en kan je creatief denken? Wil jij werken aan het bouwen van een GUI waarmee je collega's op kantoor en in het veld hun werk efficiënter kunnen uitvoeren? Klinkt werken in een informeel team op een vaste werkplek in het prachtige West-Friesland jou als muziek in de oren? Kom dan naar ons voor de functie van: Junior Web Developer</t>
  </si>
  <si>
    <t>https://www.jouwictvacature.nl/solliciteren?job=junior-webdeveloper-bij-connection-systems-bij-connection-systems</t>
  </si>
  <si>
    <t>Intrasurance Technology Services</t>
  </si>
  <si>
    <t xml:space="preserve">Medior Drupal Front-end Ontwikkelaar (English) </t>
  </si>
  <si>
    <t>Is your sense of design and usability strong and are you willing to use this quality in the development of state of the art responsive websites and apps? Are you looking for a next step in your career that allows you to strongly develop your skills as a front-ender? Is Drupal your friend and do you want to use this in challenging projects? Apply now at Intrasurance Technology Services and discover the possibilities!</t>
  </si>
  <si>
    <t>https://www.jouwictvacature.nl/solliciteren?job=medior-front-end-developer-met-drupal-ervaring-english-2</t>
  </si>
  <si>
    <t>https://www.jouwictvacature.nl/solliciteren?job=senior-magento-developer-bij-zeo-bij-zeo</t>
  </si>
  <si>
    <t>https://www.jouwictvacature.nl/solliciteren?job=senior-agile-test-specialist-bij-bartosz-bij-bartosz-amsterdam</t>
  </si>
  <si>
    <t>https://www.jouwictvacature.nl/solliciteren?job=medior-java-full-stack-developer--ios-phonegap-objective-c-swift-bij-d</t>
  </si>
  <si>
    <t>https://www.jouwictvacature.nl/solliciteren?job=senior-agile-test-specialist-bij-bartosz-bij-bartosz-arnhem</t>
  </si>
  <si>
    <t xml:space="preserve">Senior Software Developer | Delphi, C++, C#, Java, Firebird, SQL, Interbase  </t>
  </si>
  <si>
    <t>Heb je minimaal 5 jaar ervaring als software developer, ben je gedreven in je vak en altijd op zoek om jezelf te verbeteren? Wij zoeken professionals die meer verantwoordelijkheid willen en kunnen dragen in onze prominente projecten.</t>
  </si>
  <si>
    <t>https://www.jouwictvacature.nl/solliciteren?job=senior-software-developer--delphi-c-c-java-firebird-sql-interbase-bij-</t>
  </si>
  <si>
    <t>Java Software Developer | Inhouse + flexibele werktijden</t>
  </si>
  <si>
    <t>Wij zijn succesvol en groeien flink, daarom willen wij ons hechte team uitbreiden en zijn wij op zoek naar een ervaren Java Software Developer!</t>
  </si>
  <si>
    <t>https://www.jouwictvacature.nl/solliciteren?job=junior-java-software-developer--inhouse-java-html-css-javascript-mobil</t>
  </si>
  <si>
    <t>Betabit zoekt een Microsoft .NET Lead Developer voor de regio Utrecht die persoonlijk een stap omhoog wil.</t>
  </si>
  <si>
    <t>https://www.jouwictvacature.nl/solliciteren?job=microsoft-net-lead-developer-bij-betabit-regio-utrecht</t>
  </si>
  <si>
    <t>Ervaren .NET Developer bij Packs | o.a. Inhouse + studiebudget!</t>
  </si>
  <si>
    <t>https://www.jouwictvacature.nl/solliciteren?job=ervaren-net-developer-bij-packs--oa-inhouse--studiebudget</t>
  </si>
  <si>
    <t>In de rol van Junior Technical Consultant adviseer je onze klanten en geef je hun specifieke wensen vorm in ons eigen ontwikkelde ERP systeem. Je weet de bedrijfsprocessen van de klant te vertalen naar een efficiënte inrichting in Ridder iQ, waarbij de behoefte vaak gericht is op het gebied van rapportage, interface, scriptingen workflow. Tijdens implementatietrajecten werk je nauw samen met collega consultants en werk je tevens zelfstandig aan opdrachten bij klanten.</t>
  </si>
  <si>
    <t>https://www.jouwictvacature.nl/solliciteren?job=vacature-traineeship-technical-consultant-erp</t>
  </si>
  <si>
    <t>NxtConsult</t>
  </si>
  <si>
    <t xml:space="preserve">Nxt Consult biedt uitdagende opdrachten en een groeiend klantenbestand. Als consultant heb jij zelf inspraak in de opdrachten en daarmee de reistijd, duur en locatie. Dankzij hun aantrekkelijke bonus constructie is het netto salaris in vele gevallen vergelijkbaar met het bruto salaris in een vastloonconstructie. </t>
  </si>
  <si>
    <t>https://www.jouwictvacature.nl/solliciteren?job=aspnet-web-developer-bij-nxtconsult</t>
  </si>
  <si>
    <t>Minescape</t>
  </si>
  <si>
    <t>.NET Software Developer bij Minescape</t>
  </si>
  <si>
    <t>Als .NET software developer, software engineer, software ontwikkelaar of asp.net ontwikkelaar bij CIG in Amersfoort, werk je de hele dag aan innovatieve en uitdagende projecten. Je vertaalt functionele eisen van klanten zoals Manpower, LeasePlan of VGZ naar gebruiksvriendelijke oplossingen. En je krijgt de verantwoordelijkheid en vrijheid om producten verder te ontwikkelen en te optimaliseren. Dat doe je samen met collega’s van verschillende teams zoals creatie, front-end, back-end en online marketing.</t>
  </si>
  <si>
    <t>https://www.jouwictvacature.nl/solliciteren?job=net-software-developer-bij-minescape</t>
  </si>
  <si>
    <t>https://www.jouwictvacature.nl/solliciteren?job=lead-net-developer-bij-bloemert--cnet-aspnet-mvc-javascript</t>
  </si>
  <si>
    <t>Buro26</t>
  </si>
  <si>
    <t>ALMKERK</t>
  </si>
  <si>
    <t xml:space="preserve">Medior PHP webdeveloper  bij Buro26  </t>
  </si>
  <si>
    <t>Buro26 zoekt naar versterking van het team op het gebied van back- en front-end webdevelopment (fulltime).</t>
  </si>
  <si>
    <t>https://www.jouwictvacature.nl/solliciteren?job=php-webdeveloper-bij-buro26-</t>
  </si>
  <si>
    <t>Junior PHP webdeveloper</t>
  </si>
  <si>
    <t>https://www.jouwictvacature.nl/solliciteren?job=junior-php-webdeveloper-3</t>
  </si>
  <si>
    <t>https://www.jouwictvacature.nl/solliciteren?job=junior-wordpress-developer-bij-zeo</t>
  </si>
  <si>
    <t>https://www.jouwictvacature.nl/solliciteren?job=medior-front-end-developer-bij-growing-minds-bij-growing-minds</t>
  </si>
  <si>
    <t>�S-HERTOGENBOSCH</t>
  </si>
  <si>
    <t xml:space="preserve">Senior Front-end Developer met ReactJS (English) </t>
  </si>
  <si>
    <t xml:space="preserve">Do you want to work on challenging projects in which you’ll be responsible for the technical realization of our website and applications? Is ReactJS known territory for you and are you willing to contribute to the best results? This is your chance to develop yourself  and your skills! </t>
  </si>
  <si>
    <t>https://www.jouwictvacature.nl/solliciteren?job=senior-front-end-developer-met-reactjs-english-</t>
  </si>
  <si>
    <t>https://www.jouwictvacature.nl/solliciteren?job=senior-software-tester-bij-minox-bij-minox</t>
  </si>
  <si>
    <t>Mijnwebwinkel</t>
  </si>
  <si>
    <t>OSS</t>
  </si>
  <si>
    <t>Medior Technische Front-ender</t>
  </si>
  <si>
    <t>Als medior+ of senior front-end developer zorg jij ervoor dat het Mijnwebwinkel platform ongekend gebruiksvriendelijk én superstrak vormgegeven is. Jij implementeert de visual designs tot in perfectie. Dit doe je samen met jouw collega front-enders en in nauwe samenwerking met je scrum team.</t>
  </si>
  <si>
    <t>https://www.jouwictvacature.nl/solliciteren?job=medior-technische-front-enderr-bij-mijnwebwinkel</t>
  </si>
  <si>
    <t>Senior Java Developer bij Devoteam</t>
  </si>
  <si>
    <t>https://www.jouwictvacature.nl/solliciteren?job=senior-java-developer--spring-hibernate-iot-bddtddcicd</t>
  </si>
  <si>
    <t>Full-stack Software Engineer</t>
  </si>
  <si>
    <t>Weet jij hoe je applicaties end-to-end oplevert? Ben jij net zo thuis in front- als backend-engineering? Kies voor innovatieve projecten en alle ruimte voor jouw ontwikkeling.</t>
  </si>
  <si>
    <t>https://www.jouwictvacature.nl/solliciteren?job=full-stack-software-engineer</t>
  </si>
  <si>
    <t>Senior Android App Developer at FindWhere</t>
  </si>
  <si>
    <t>We're looking for an Android App developer who can lift our mobile applications to the next level, are you the one?</t>
  </si>
  <si>
    <t>https://www.jouwictvacature.nl/solliciteren?job=senior-android-app-developer-at-findwhere-bij-findwhere</t>
  </si>
  <si>
    <t>Werken in een oude Utrechtse watertoren als Senior Java Developer?</t>
  </si>
  <si>
    <t>https://www.jouwictvacature.nl/solliciteren?job=werken-in-een-oude-utrechtse-watertoren-als-senior-java-developer-bij-</t>
  </si>
  <si>
    <t>Medior Java / VB.NET Developer bij Bottomline</t>
  </si>
  <si>
    <t>https://www.jouwictvacature.nl/solliciteren?job=medior-java--vbnet-developer-bij-bottomline-bij-bottomline</t>
  </si>
  <si>
    <t xml:space="preserve">Medior Front-end Developer met ReactJS (English)  </t>
  </si>
  <si>
    <t>https://www.jouwictvacature.nl/solliciteren?job=medior-front-end-developer-met-reactjs-english-bij-intrasurance-techno</t>
  </si>
  <si>
    <t>.NET Web Developer</t>
  </si>
  <si>
    <t>https://www.jouwictvacature.nl/solliciteren?job=net-web-developer-bij-it-partner</t>
  </si>
  <si>
    <t>https://www.jouwictvacature.nl/solliciteren?job=medior-technisch-software-tester-bij-betabit</t>
  </si>
  <si>
    <t>Medior C# Developer met affiniteit voor Blockchain, Machine Learning en Security</t>
  </si>
  <si>
    <t>https://www.jouwictvacature.nl/solliciteren?job=medior-c-developer-met-affiniteit-voor-blockchain-machine-learning-en-</t>
  </si>
  <si>
    <t xml:space="preserve">Senior PHP bij Buro26  </t>
  </si>
  <si>
    <t>https://www.jouwictvacature.nl/solliciteren?job=senior-php-developer-bij-buro26</t>
  </si>
  <si>
    <t>Sluijmer Multimedia</t>
  </si>
  <si>
    <t>LELYSTAD</t>
  </si>
  <si>
    <t>Medior PHP Developer bij Sluijmermultimedia</t>
  </si>
  <si>
    <t>Wij zoeken een PHP Developer | Een echte websitebrouwer!</t>
  </si>
  <si>
    <t>https://www.jouwictvacature.nl/solliciteren?job=medior-php-developer-bij-sluijmermultimedia</t>
  </si>
  <si>
    <t>https://www.jouwictvacature.nl/solliciteren?job=senior-javascript-developer-bij-the-people-group</t>
  </si>
  <si>
    <t>Senior Drupal Front-end Ontwikkelaar (English)</t>
  </si>
  <si>
    <t>https://www.jouwictvacature.nl/solliciteren?job=senior-drupal-front-end-ontwikkelaar-english-bij-intrasurance-technolo</t>
  </si>
  <si>
    <t>https://www.jouwictvacature.nl/solliciteren?job=medior-javascript-developer-bij-appmachine--2</t>
  </si>
  <si>
    <t>Junior Java developer | Spring, Hibernate, GWT, Maven, Ant, Jboss, IBM WebSphere</t>
  </si>
  <si>
    <t>https://www.jouwictvacature.nl/solliciteren?job=junior-java-developer-bij-rivium</t>
  </si>
  <si>
    <t>Medior Integratieconsultant (32-40 uur) bij Datacon</t>
  </si>
  <si>
    <t>Datacon in Tilburg is op zoek naar een integratieconsultant, die wil werken met de nieuwste en bewezen technologie in zijn/haar vakgebied.</t>
  </si>
  <si>
    <t>https://www.jouwictvacature.nl/solliciteren?job=medior-integratieconsultant-32-40-uur-bij-datacon</t>
  </si>
  <si>
    <t>Medior Backend Developer bij Gappless | Java, Go, Rest</t>
  </si>
  <si>
    <t>https://www.jouwictvacature.nl/solliciteren?job=medior-backend-developer-bij-gappless--java-go-rest-bij-gappless</t>
  </si>
  <si>
    <t xml:space="preserve">Ervaren Back-end Developer | Allround Programmeur </t>
  </si>
  <si>
    <t>https://www.jouwictvacature.nl/solliciteren?job=ervaren-back-end-developer--allround-programmeur-2</t>
  </si>
  <si>
    <t>Software wordt een steeds belangrijker onderdeel van onze integrale beveiligingsoplossingen, bijvoorbeeld door het koppelen van verschillende beveiligingssystemen of maatwerk voor klantspecifieke toepassingen. Daarnaast ontwikkelt Mactwin eigen applicaties waarmee we onze klanten (op afstand) kunnen ontzorgen. Hierdoor zijn we op zoek naar een Software developer.</t>
  </si>
  <si>
    <t>https://www.jouwictvacature.nl/solliciteren?job=gedreven-developer-met-teamlead-ambities</t>
  </si>
  <si>
    <t>https://www.jouwictvacature.nl/solliciteren?job=junior-xamarin-ontwikkelaar-bij-webbeat-bij-webbeat</t>
  </si>
  <si>
    <t>As a Medior Front-end Developer, you will work on projects critical to Pyton's needs.</t>
  </si>
  <si>
    <t>https://www.jouwictvacature.nl/solliciteren?job=medior-front-end-developer-bij-pyton-an-amadeus-company</t>
  </si>
  <si>
    <t>Senior Developer .NET applicaties - Voor mooie klanten als De Efteling / NEMO / Bobbejaanland</t>
  </si>
  <si>
    <t>https://www.jouwictvacature.nl/solliciteren?job=senior-developer-applicaties-voor-mooie-klanten-als-de-efteling--nemo-</t>
  </si>
  <si>
    <t>The Future of Finance</t>
  </si>
  <si>
    <t>PHP Developer bij Future of Finance</t>
  </si>
  <si>
    <t>Word jij onze nieuwe PHP Developer die op maat gemaakte software wil maken voor de financiële dienstverlening?</t>
  </si>
  <si>
    <t>https://www.jouwictvacature.nl/solliciteren?job=php-developer-bij-future-of-finance</t>
  </si>
  <si>
    <t xml:space="preserve">Wil jij Nederland veiliger maken en kan je analytisch denken? _x000D_
Ben jij goed met NodeJS en MySQL? _x000D_
Hou je ervan om samen met een klein team te sparren om een optimaal rendement uit de eigen software te halen? Kom dan naar ons voor de functie van:_x000D_
_x000D_
Node.js Developer met PHP ervaring _x000D_
</t>
  </si>
  <si>
    <t>https://www.jouwictvacature.nl/solliciteren?job=nodejs-developer-met-php-ervaring-</t>
  </si>
  <si>
    <t>Junior Tester</t>
  </si>
  <si>
    <t>https://www.jouwictvacature.nl/solliciteren?job=junior-tester-bij-instituut-fysieke-veiligheid</t>
  </si>
  <si>
    <t>https://www.jouwictvacature.nl/solliciteren?job=junior-javascript-developer-bij-minox</t>
  </si>
  <si>
    <t>https://www.jouwictvacature.nl/solliciteren?job=nodejs-software-engineer-bij-ksyos</t>
  </si>
  <si>
    <t>Are you looking for an opportunity to join an international and ambitious development team and are you focused on getting things done? Crowdynews is actively looking for a full time tech savvy backend Developer to constantly evolve our existing products, and build cool new ones. We offer you a chance to work in a fun, open and innovative environment. You will work on designing, developing and maintain high performance backend systems and APIs and extend existing Crowdynews products with new features.</t>
  </si>
  <si>
    <t>https://www.jouwictvacature.nl/solliciteren?job=medior-nodejs-developer-bij-crowdynews</t>
  </si>
  <si>
    <t xml:space="preserve">Junior Javascript Developer  </t>
  </si>
  <si>
    <t>https://www.jouwictvacature.nl/solliciteren?job=junior-javascript-developer-bij-funatic</t>
  </si>
  <si>
    <t>https://www.jouwictvacature.nl/solliciteren?job=senior-testanalist-bij-bartosz-bij-bartosz-utrecht</t>
  </si>
  <si>
    <t>Senior R&amp;D Software Developer bij USoft</t>
  </si>
  <si>
    <t>https://www.jouwictvacature.nl/solliciteren?job=senior-rend-software-developer-bij-usoft-bij-usoft</t>
  </si>
  <si>
    <t>Senior FullStack Software Ontwikkelaar bij Simaxx</t>
  </si>
  <si>
    <t>https://www.jouwictvacature.nl/solliciteren?job=senior-fullstack-software-ontwikkelaar-bij-simaxx-bij-simaxx</t>
  </si>
  <si>
    <t>Senior Java Ontwikkelaar bij msg life Benelux</t>
  </si>
  <si>
    <t>https://www.jouwictvacature.nl/solliciteren?job=senior-java-ontwikkelaar-bij-msg-life-benelux-bij-msg-life-benelux</t>
  </si>
  <si>
    <t>Senior Microsoft SharePoint Specialist bij Sogeti in Eindhoven</t>
  </si>
  <si>
    <t>https://www.jouwictvacature.nl/solliciteren?job=medior-microsoft-sharepoint-specialist-bij-sogeti</t>
  </si>
  <si>
    <t xml:space="preserve">Weet jij alles van ERP implementaties en wil je graag deze kennis perfectioneren? Bij ons krijg je de kans om te werken aan complexe implementaties waarbij je veel vrijheid kunt verwachten. Kom het team van Ridder versterken en krijg volop ruimte om jezelf te ontwikkelen! </t>
  </si>
  <si>
    <t>https://www.jouwictvacature.nl/solliciteren?job=business-consultant-erp-bij-ridder-data-systems</t>
  </si>
  <si>
    <t>Senior Fullstack Developer</t>
  </si>
  <si>
    <t>https://www.jouwictvacature.nl/solliciteren?job=senior-fullstack-developer-bij-the-people-group</t>
  </si>
  <si>
    <t xml:space="preserve">Medior Webdeveloper bij Connection Systems </t>
  </si>
  <si>
    <t xml:space="preserve">Wil jij Nederland veiliger maken en kan je creatief denken? _x000D_
Wil jij werken aan het bouwen van een GUI waarmee je collega’s op kantoor en in het veld hun werk efficiënter kunnen uitvoeren? _x000D_
Klinkt werken in een informeel team op een vaste werkplek in het prachtige West-Friesland jou als muziek in de oren? Kom dan naar ons voor de functie van:_x000D_
_x000D_
Medior Web Developer _x000D_
</t>
  </si>
  <si>
    <t>https://www.jouwictvacature.nl/solliciteren?job=medior-webdeveloper-bij-connection-systems-</t>
  </si>
  <si>
    <t xml:space="preserve">Senior Front-end Developer  (English) </t>
  </si>
  <si>
    <t>https://www.jouwictvacature.nl/solliciteren?job=medior-front-end-developer-english</t>
  </si>
  <si>
    <t>https://www.jouwictvacature.nl/solliciteren?job=backend-developer-bij-zeo-bij-zeo</t>
  </si>
  <si>
    <t>Helloprint</t>
  </si>
  <si>
    <t>Medior Fullstack Developer (focus op front-end)</t>
  </si>
  <si>
    <t xml:space="preserve">Invent, develop and challenge the market, that's your job. </t>
  </si>
  <si>
    <t>https://www.jouwictvacature.nl/solliciteren?job=mediorjavascript-developer-bij-hello-print-2</t>
  </si>
  <si>
    <t>https://www.jouwictvacature.nl/solliciteren?job=medior-front-end-developer-bij-codezilla-bij-codezilla</t>
  </si>
  <si>
    <t>https://www.jouwictvacature.nl/solliciteren?job=senior-front-end-developer-bij-gappless</t>
  </si>
  <si>
    <t>https://www.jouwictvacature.nl/solliciteren?job=medior-front-end-developer-bij-the-people-group</t>
  </si>
  <si>
    <t>https://www.jouwictvacature.nl/solliciteren?job=medior-javascript-developer-bij-the-people-group</t>
  </si>
  <si>
    <t>https://www.jouwictvacature.nl/solliciteren?job=senior-front-end-developer-bij-the-people-group</t>
  </si>
  <si>
    <t>Full-stack Mobile Developer | iOS, Swift, Objective-C, Bootstrap</t>
  </si>
  <si>
    <t>Are you the Full-Stack Mobile Developer who's going to lift our mobile applications to the next level?</t>
  </si>
  <si>
    <t>https://www.jouwictvacature.nl/solliciteren?job=full-stack-mobile-developer--ios-swift-objective-c-bootstrap-bij-findw</t>
  </si>
  <si>
    <t xml:space="preserve">Medior Mobile Developer bij DPA GEOS </t>
  </si>
  <si>
    <t>https://www.jouwictvacature.nl/solliciteren?job=medior-mobile-developer-bij-dpa-geos-bij-dpa-geos-3</t>
  </si>
  <si>
    <t>Junior Java Developer bij HybrIT!</t>
  </si>
  <si>
    <t>https://www.jouwictvacature.nl/solliciteren?job=junior-java-developer-bij-hybrit</t>
  </si>
  <si>
    <t>PinkRoccade</t>
  </si>
  <si>
    <t>APELDOORN</t>
  </si>
  <si>
    <t>Wij zijn op zoek naar een talentvolle software developer die bijdraagt aan een betere zorg.</t>
  </si>
  <si>
    <t>https://www.jouwictvacature.nl/solliciteren?job=junior-software-engineer-bij-pinkroccade</t>
  </si>
  <si>
    <t>https://www.jouwictvacature.nl/solliciteren?job=senior-java-developer--spring-grails-wicket-javascript-scala-bij-dpa-g</t>
  </si>
  <si>
    <t>Senior .NET webdeveloper bij ICATT in hartje Amsterdam (32, 36 of 40 uur)</t>
  </si>
  <si>
    <t>MPS Multi Pilot Simulations</t>
  </si>
  <si>
    <t>GROENEKAN</t>
  </si>
  <si>
    <t>C#/C++ developer with affinity for aviation</t>
  </si>
  <si>
    <t xml:space="preserve">As a result of expansion MPs (Multi Pilot Simulations) is looking for a software engineer. Multi Pilot Simulations BV (MPS) designs and manufactures flight simulation training devices (FSTDs), for the professional flight training industry. Our simulators are designed and manufactured in-house to the highest quality standards while remaining very cost-effective. These simulators are designed to be certified according to European EASA and the local CAA regulatory standards in the country of installation._x000D_
</t>
  </si>
  <si>
    <t>https://www.jouwictvacature.nl/solliciteren?job=cc-ontwikkelaar-met-affiniteit-voor-luchtvaart</t>
  </si>
  <si>
    <t>Medior C# .NET / ReactJS developer zonder cloud-vrees</t>
  </si>
  <si>
    <t>https://www.jouwictvacature.nl/solliciteren?job=medior-c-net--reactjs-developer-zonder-cloud-vrees</t>
  </si>
  <si>
    <t>Medior .NET Developer voor 32, 36 of 40 uur per week | .NET Core, C#, AngularJS, Entity</t>
  </si>
  <si>
    <t>https://www.jouwictvacature.nl/solliciteren?job=medior-net-developer-voor-32-36-of-40-uur-per-week--net-core-c-angular</t>
  </si>
  <si>
    <t>https://www.jouwictvacature.nl/solliciteren?job=software-architect-net-bij-nxtconsult</t>
  </si>
  <si>
    <t xml:space="preserve">PHP webdeveloper  bij Buro26 </t>
  </si>
  <si>
    <t>https://www.jouwictvacature.nl/solliciteren?job=php-developer-bij-buro26-2</t>
  </si>
  <si>
    <t>Met 30 gedreven specialisten werken wij elke dag aan de bedrijfsprocessen van onze klanten. Waarom? Omdat deze processen veel beter ingericht en geautomatiseerd kunnen worden. En omdat onze klanten door onze innovatieve oplossingen eindelijk datgene kunnen waarmaken waar ze van dromen. Dit alles doen we al bijna 20 jaar met volle overtuiging met een team dat vooruit denkt en gelooft dat het altijd beter kan.</t>
  </si>
  <si>
    <t>https://www.jouwictvacature.nl/solliciteren?job=back-end-webdeveloper-bij-ultraware-in-assen</t>
  </si>
  <si>
    <t xml:space="preserve">Senior Javascript Developer  (English)  </t>
  </si>
  <si>
    <t>https://www.jouwictvacature.nl/solliciteren?job=senior-javascript-developer-bij-the-people-group-2</t>
  </si>
  <si>
    <t xml:space="preserve">Junior Laravel PHP developer  </t>
  </si>
  <si>
    <t>https://www.jouwictvacature.nl/solliciteren?job=junior-laravel-php-developer-bij-cepo</t>
  </si>
  <si>
    <t>DRUNEN</t>
  </si>
  <si>
    <t xml:space="preserve">Medior Javascript Developer (English)   </t>
  </si>
  <si>
    <t>https://www.jouwictvacature.nl/solliciteren?job=medior-javascript-developer-bij-the-people-group-2</t>
  </si>
  <si>
    <t>https://www.jouwictvacature.nl/solliciteren?job=mediorfront-end-developer-bij-webshop-indi-bij-indi</t>
  </si>
  <si>
    <t>Comandi Business Solutions BV</t>
  </si>
  <si>
    <t>Senior Full-Stack Developer  (focus op front-end)</t>
  </si>
  <si>
    <t>We groeien en zijn op zoek naar nieuwe collega’s! Heb jij passie voor het ontwerpen en ontwikkelen van optimale UI en UX, business analytics en nieuwe technologie? Wil jij werken in een succesvol jong bedrijf met sterke ambitie? Bij ons krijg je veel ruimte en vanaf dag één heb je een significante inbreng. Comandi biedt prima arbeidsvoorwaarden in een enthousiast en jong team.</t>
  </si>
  <si>
    <t>https://www.jouwictvacature.nl/solliciteren?job=senior-full-stack-developer-bij-comandi-business-solutions-bv</t>
  </si>
  <si>
    <t>https://www.jouwictvacature.nl/solliciteren?job=senior-front-end-developer-bij-mijnwebwinkel</t>
  </si>
  <si>
    <t xml:space="preserve">Are you looking for an opportunity to join an international and ambitious development team and are you focused on getting things done? Crowdynews is actively looking for a full time tech savvy JavaScript Engineer to constantly evolve our existing products, and build cool new ones. We offer you a chance to work in a fun, open and innovative environment. You will work on designing, developing and maintain high performance backend systems and APIs and extend existing Crowdynews products with new features. _x000D_
_x000D_
We are looking for a colleague who can think along in both a creative and strategic way concerning new concepts and the innovation of existing applications. Do you have the JavaScript skills we’re looking for? Can you design and implement system architecture and platforms? Do you have experience and extensive knowledge of node.js? Do you have affinity with social media, high performance and language processing? Please let us know and come join us!_x000D_
</t>
  </si>
  <si>
    <t>https://www.jouwictvacature.nl/solliciteren?job=javascript-engineer</t>
  </si>
  <si>
    <t>https://www.jouwictvacature.nl/solliciteren?job=senior-javascript-developer-bij-hello-print</t>
  </si>
  <si>
    <t>Axians</t>
  </si>
  <si>
    <t>Young Professional Java Developer</t>
  </si>
  <si>
    <t>Studeer jij deze zomer af of ben je net afgestudeerd en zoek je een mix van werken en leren?_x000D_
_x000D_
Als Java Developer ben je onderdeel van ons multidisciplinaire en zelf-organiserende team. Samen beheersen we alle aspecten van software engineering, van Enterprise Integration Patterns tot moderne front-ends, van micro services tot legacy applicatie ontsluiting.</t>
  </si>
  <si>
    <t>https://www.jouwictvacature.nl/solliciteren?job=young-professional-java-developer</t>
  </si>
  <si>
    <t>Experienced Full-stack Mobile Developer at Findwhere</t>
  </si>
  <si>
    <t>https://www.jouwictvacature.nl/solliciteren?job=experienced-full-stack-mobile-developer-at-findwhere-bij-findwhere</t>
  </si>
  <si>
    <t>https://www.jouwictvacature.nl/solliciteren?job=senior-testanalist-bij-bartosz-bij-bartosz-arnhem</t>
  </si>
  <si>
    <t xml:space="preserve">Senior Java Developer  </t>
  </si>
  <si>
    <t>https://www.jouwictvacature.nl/solliciteren?job=medior-java-developer-</t>
  </si>
  <si>
    <t>Lead .NET Developer bij Minescape met affiniteit voor CMS</t>
  </si>
  <si>
    <t>https://www.jouwictvacature.nl/solliciteren?job=lead-net-developer-bij-minescape-met-affiniteit-voor-cms</t>
  </si>
  <si>
    <t>.NET Engineer in de Randstad (Junior, Medior, Senior, Lead, Architect)</t>
  </si>
  <si>
    <t>https://www.jouwictvacature.nl/solliciteren?job=net-engineer-in-de-randstad-junior-medior-senior-lead-architect</t>
  </si>
  <si>
    <t>Lead .NET webdeveloper bij ICATT | Studiebudget en mogelijkheid voor parttime</t>
  </si>
  <si>
    <t>https://www.jouwictvacature.nl/solliciteren?job=lead-net-developer-bij-icatt--studiebudget-en-mogelijkheid-voor-partti</t>
  </si>
  <si>
    <t>https://www.jouwictvacature.nl/solliciteren?job=backend-developer-bij-zeo-bij-zeo-2</t>
  </si>
  <si>
    <t xml:space="preserve">Allround PHP developer </t>
  </si>
  <si>
    <t>https://www.jouwictvacature.nl/solliciteren?job=allround-php-developer-medior-</t>
  </si>
  <si>
    <t xml:space="preserve">Medior PHP ontwikkelaar bij Future of Finance </t>
  </si>
  <si>
    <t>https://www.jouwictvacature.nl/solliciteren?job=php-developer-bij-future-of-finance-4</t>
  </si>
  <si>
    <t>Are you an experienced software developer, and are you ready for the next step? Would you like to work on great security solutions in a small team? Does a heavy dose of responsibility not scare you away? Mactwin is looking for someone like you. Read on!</t>
  </si>
  <si>
    <t>https://www.jouwictvacature.nl/solliciteren?job=experienced-software-developer-looking-for-the-next-step</t>
  </si>
  <si>
    <t>Actorius B.V.</t>
  </si>
  <si>
    <t>Lead Java Developer</t>
  </si>
  <si>
    <t>Ben jij een ervaren software ontwikkelaar met een passie voor het web? Werk je het liefst ineen kleinschalige informele omgeving waar jouw mening telt en jouw ervaring direct eenbijdrage kan leveren? Dan hebben wij een leuke uitdaging voor jou._x000D_
(32 – 40 uur per week)</t>
  </si>
  <si>
    <t>https://www.jouwictvacature.nl/solliciteren?job=ervaren-webontwikkelaar-2</t>
  </si>
  <si>
    <t>Experienced Java Developer at FindWhere</t>
  </si>
  <si>
    <t>https://www.jouwictvacature.nl/solliciteren?job=experienced-java-developer-at-findwhere-bij-findwhere</t>
  </si>
  <si>
    <t>https://www.jouwictvacature.nl/solliciteren?job=senior-mobile-developer--ios-android-phonegap-objective-c-java-swift-b-4</t>
  </si>
  <si>
    <t>Lead .NET Developer bij Utilize voor 32, 36 of 40 uur per week</t>
  </si>
  <si>
    <t>https://www.jouwictvacature.nl/solliciteren?job=lead-net-developer-bij-utilize-voor-32-36-of-40-uur-per-week</t>
  </si>
  <si>
    <t>Senior en/of Lead .NET webdeveloper bij ICATT in hartje Amsterdam</t>
  </si>
  <si>
    <t>Lead .NET Developer bij Utilize | .NET Core |  NoSQL | Microservices</t>
  </si>
  <si>
    <t>https://www.jouwictvacature.nl/solliciteren?job=lead-net-developer-bij-utilize--net-core--nosql--microservices</t>
  </si>
  <si>
    <t>Medior Laravel developer</t>
  </si>
  <si>
    <t>https://www.jouwictvacature.nl/solliciteren?job=allround-php-webontwikkelaar</t>
  </si>
  <si>
    <t>Werken in hartje Amsterdam met een weids uitzicht over het IJ?_x000D_
Ben jij sterk in het bedenken van concepten, en kun je je ideeën, designs en ‘best practices' in user experience goed toelichten om collega's en stakeholders te overtuigen, motiveren en inspireren? Heb jij ervaring in conversietrajecten en beschik jij over een heldere visie op de best mogelijke interactie tussen bezoekers en applicaties? Lees dan snel verder: de afdeling Design van Hostnet zoekt per direct een ervaren UX Designer!</t>
  </si>
  <si>
    <t>https://www.jouwictvacature.nl/solliciteren?job=medior-user-experience-ux-designer-bij-hostnet</t>
  </si>
  <si>
    <t>https://www.jouwictvacature.nl/solliciteren?job=software-engineer-bij-ksyos</t>
  </si>
  <si>
    <t xml:space="preserve">Medior JavaScript Developer bij Kaartje2go   </t>
  </si>
  <si>
    <t>https://www.jouwictvacature.nl/solliciteren?job=mediorjavascript-developer-bij-kaartje2go</t>
  </si>
  <si>
    <t>Medior Mobile Developer bij DPA GEOS</t>
  </si>
  <si>
    <t>https://www.jouwictvacature.nl/solliciteren?job=medior-mobile-developer-bij-dpa-geos-bij-dpa-geos</t>
  </si>
  <si>
    <t xml:space="preserve">Medior Feedback Engineer | Exploratory Testing, Context Driven Testing, BDD, SbE, TDD </t>
  </si>
  <si>
    <t>https://www.jouwictvacature.nl/solliciteren?job=medior-feedback-engineer--exploratory-testing-context-driven-testing-b-3</t>
  </si>
  <si>
    <t>Medior Java Software Engineer</t>
  </si>
  <si>
    <t>https://www.jouwictvacature.nl/solliciteren?job=medior-java-software-engineer-4</t>
  </si>
  <si>
    <t>https://www.jouwictvacature.nl/solliciteren?job=medior-agile-test-specialist-bij-bartosz-bij-bartosz-utrecht</t>
  </si>
  <si>
    <t>Junior Software developer at msg life Benelux</t>
  </si>
  <si>
    <t>https://www.jouwictvacature.nl/solliciteren?job=junior-software-developer-at-msg-life-benelux-bij-msg-life-benelux</t>
  </si>
  <si>
    <t>De Solipsisgroep</t>
  </si>
  <si>
    <t>Junior C# .NET developer bij De Solipsisgroep  te Schiphol-Rijk</t>
  </si>
  <si>
    <t xml:space="preserve">Als .NET Developer ben je samen met je collega ontwikkelaars verantwoordelijk voor de doorontwikkeling van ons product IntraOffice. Je bouwt samen met je collega’s aan onze Cloud-oplossing op het Microsoft Azure platform en ontwikkelt mede de roadmap voor de digitale handtekening. Je werkt in een klein team met korte lijnen en snelle beslissingen. Waar je je verantwoordelijkheid kunt nemen in het gehele development proces en je professionele mening gewaardeerd wordt._x000D_
_x000D_
</t>
  </si>
  <si>
    <t>https://www.jouwictvacature.nl/solliciteren?job=junior-c-net-developer-bij-de-solipsisgroep-te-schiphol-rijk</t>
  </si>
  <si>
    <t>Technical Lead .NET (Web) bij ICATT | Inhouse | Mogelijkheid tot parttime | Opleidingsbudget</t>
  </si>
  <si>
    <t>Senior .NET Developer bij Minescape met affiniteit voor CMS</t>
  </si>
  <si>
    <t>https://www.jouwictvacature.nl/solliciteren?job=senior-net-developer-bij-minescape-met-affiniteit-voor-cms</t>
  </si>
  <si>
    <t>Zeer ervaren .NET internetontwikkelaar bij ICATT (inhouse) in hartje Amsterdam</t>
  </si>
  <si>
    <t>.NET SOFTWARE DEVELOPER /SOFTWARE ENGINEER</t>
  </si>
  <si>
    <t>https://www.jouwictvacature.nl/solliciteren?job=net-software-developer-software-engineer</t>
  </si>
  <si>
    <t>Wij zoeken een junior/medior front-end developer die als liefhebber van code en UX goed kan meedenken met onze designers. Je hebt de juiste technische skills en gevoel voor stijl waarmee je zorgt dat vorm en functie bij elkaar komen tijdens het ontwikkelen van sites of webapplicaties!</t>
  </si>
  <si>
    <t>https://www.jouwictvacature.nl/solliciteren?job=front-end-developer-bij-creabea</t>
  </si>
  <si>
    <t>https://www.jouwictvacature.nl/solliciteren?job=front-end-developer-bij-stackstate</t>
  </si>
  <si>
    <t>https://www.jouwictvacature.nl/solliciteren?job=junior-javascript-developer-bij-the-people-group</t>
  </si>
  <si>
    <t>https://www.jouwictvacature.nl/solliciteren?job=senior-software-engineer-bij-ksyos</t>
  </si>
  <si>
    <t>Senior Fullstack Developer (focus op front-end)</t>
  </si>
  <si>
    <t>https://www.jouwictvacature.nl/solliciteren?job=senior-fullstack-developer-bij-hello-print</t>
  </si>
  <si>
    <t>https://www.jouwictvacature.nl/solliciteren?job=software-developer-bij-bgenius-2</t>
  </si>
  <si>
    <t>https://www.jouwictvacature.nl/solliciteren?job=medior-java-full-stack-developer--ios-phonegap-objective-c-swift-bij-d-4</t>
  </si>
  <si>
    <t>Qenner</t>
  </si>
  <si>
    <t>Wil jij een waardevolle bijdrage leveren aan de ontwikkeling van innovatieve producten en diensten voor de internationale reisindustrie? Wil je een nieuwe uitdaging aangaan bij ons ambitieuze bedrijf en werken in een sterk multidisciplinair team? Solliciteer dan nu!</t>
  </si>
  <si>
    <t>https://www.jouwictvacature.nl/solliciteren?job=medior-java-developer-bij-qenner-in-enschede</t>
  </si>
  <si>
    <t>C#.Net MVC developer met 2-3 jaar ervaring</t>
  </si>
  <si>
    <t>Wordt jij enthousiast van Werken aan uitdagende projecten, voor de grootste abonnementsbedrijven van Nederland?
 In het hart van Utrecht: de Drieharingstraat. 
Programmeren met Microsoft .Net, MVC &amp; SQL Server. Samenwerken met en leren van een team van 20 collega’s?
Dan hebben wij een mooie plek voor je waarin jij jezelf verder kunt ontwikkelen als .Net developer!</t>
  </si>
  <si>
    <t>https://www.jouwictvacature.nl/solliciteren?job=c-net-mvc-developer-met-2-3-jaar-ervaring</t>
  </si>
  <si>
    <t>Medior C# .NET developer bij De Solipsisgroep  te Schiphol-Rijk</t>
  </si>
  <si>
    <t xml:space="preserve">Als .NET Developer ben je samen met je collega ontwikkelaars verantwoordelijk voor de doorontwikkeling van ons product IntraOffice. Je bouwt samen met je collega’s aan onze Cloud-oplossing op het Microsoft Azure platform en ontwikkelt mede de roadmap voor de digitale handtekening. Je werkt in een klein team met korte lijnen en snelle beslissingen. Waar je je verantwoordelijkheid kunt nemen in het gehele development proces en je professionele mening gewaardeerd wordt.
</t>
  </si>
  <si>
    <t>https://www.jouwictvacature.nl/solliciteren?job=medior-c-net-developer-bij-de-solipsisgroep-te-schiphol-rijk</t>
  </si>
  <si>
    <t xml:space="preserve">As a result of expansion MPs (Multi Pilot Simulations) is looking for a software engineer. Multi Pilot Simulations BV (MPS) designs and manufactures flight simulation training devices (FSTDs), for the professional flight training industry. Our simulators are designed and manufactured in-house to the highest quality standards while remaining very cost-effective. These simulators are designed to be certified according to European EASA and the local CAA regulatory standards in the country of installation.
</t>
  </si>
  <si>
    <t xml:space="preserve">Je werkt mee aan de verdere ontwikkeling van onze realtime 3D graphics engine en bijbehorende user interface en aansturing. Daarnaast werk je mee aan projecten voor klanten waarbij televisie en entertainment shows worden gebouwd en aangestuurd. Je werk zal dus door een miljoenenpubliek worden bekeken!
</t>
  </si>
  <si>
    <t>Senior .NET Developer bij Marketing Makers</t>
  </si>
  <si>
    <t>https://www.jouwictvacature.nl/solliciteren?job=senior-net-developer-bij-marketing-makers</t>
  </si>
  <si>
    <t xml:space="preserve">
Als ontwikkelaar bij Adecs Airinfra werk je samen met je collega's aan uitbreidingen en verbetering van bestaande producten voor regionale luchthavens in binnen- en buitenland. Het betreft hier de ontwikkeling van informatie, visualisatie, tracking en registratiesystemen. Dit alles binnen een team van 6 medewerkers met korte lijnen, informele cultuur en een goede teamgeest.  In overleg met de opdrachtgever worden voor de bestaande software nieuwe functionaliteiten gedefinieerd en mede door jou gerealiseerd. Voor de nieuw te ontwikkelen programmatuur voor luchthavens wordt Agile gewerkt. Naast software ontwikkeling ben je betrokken in de verdere ontwikkeling van een product waarbij jouw specifiek aandachtsgebied de applicatie architectuur zal zijn.
</t>
  </si>
  <si>
    <t>Ervaren .NET Developer bij Minescape met affiniteit voor CMS</t>
  </si>
  <si>
    <t>https://www.jouwictvacature.nl/solliciteren?job=ervaren-net-developer-bij-minescape-met-affiniteit-voor-cms</t>
  </si>
</sst>
</file>

<file path=xl/styles.xml><?xml version="1.0" encoding="utf-8"?>
<styleSheet xmlns="http://schemas.openxmlformats.org/spreadsheetml/2006/main">
  <numFmts count="2">
    <numFmt formatCode="yyyy\-mm\-dd" numFmtId="164"/>
    <numFmt formatCode="yyyy-mm-dd"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6">
    <xf borderId="0" fillId="0" fontId="0" numFmtId="0" pivotButton="0" quotePrefix="0" xfId="0"/>
    <xf borderId="0" fillId="0" fontId="0" numFmtId="0" pivotButton="0" quotePrefix="0" xfId="0"/>
    <xf applyAlignment="1" borderId="0" fillId="0" fontId="0" numFmtId="14" pivotButton="0" quotePrefix="0" xfId="0">
      <alignment horizontal="left"/>
    </xf>
    <xf borderId="0" fillId="0" fontId="0" numFmtId="164" pivotButton="0" quotePrefix="0" xfId="0"/>
    <xf borderId="0" fillId="0" fontId="0" numFmtId="164" pivotButton="0" quotePrefix="0" xfId="0"/>
    <xf borderId="0" fillId="0" fontId="0" numFmtId="165" pivotButton="0" quotePrefix="0" xfId="0"/>
  </cellXfs>
  <cellStyles count="1">
    <cellStyle builtinId="0" name="Standaard" xfId="0"/>
  </cellStyles>
  <dxfs count="2">
    <dxf>
      <font>
        <color rgb="FF9C0006"/>
      </font>
      <fill>
        <patternFill>
          <bgColor rgb="FFFFC7CE"/>
        </patternFill>
      </fill>
    </dxf>
    <dxf>
      <fill>
        <patternFill patternType="solid">
          <fgColor rgb="FFFFC7CE"/>
          <bgColor rgb="FF000000"/>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Blad1" filterMode="1">
    <outlinePr summaryBelow="1" summaryRight="1"/>
    <pageSetUpPr/>
  </sheetPr>
  <dimension ref="A1:L1875"/>
  <sheetViews>
    <sheetView tabSelected="1" workbookViewId="0" zoomScale="102" zoomScaleNormal="226">
      <pane activePane="bottomLeft" state="frozen" topLeftCell="A1625" ySplit="1"/>
      <selection activeCell="B1863" pane="bottomLeft" sqref="B1863"/>
    </sheetView>
  </sheetViews>
  <sheetFormatPr baseColWidth="8" defaultColWidth="10.6640625" defaultRowHeight="14.25" outlineLevelCol="0"/>
  <cols>
    <col customWidth="1" max="1" min="1" style="2" width="18.06640625"/>
    <col customWidth="1" max="2" min="2" style="1" width="36.46484375"/>
    <col bestFit="1" customWidth="1" max="3" min="3" style="1" width="20.86328125"/>
    <col customWidth="1" max="4" min="4" style="1" width="13.86328125"/>
    <col customWidth="1" max="5" min="5" style="1" width="9"/>
    <col bestFit="1" customWidth="1" max="6" min="6" style="1" width="15.59765625"/>
    <col bestFit="1" customWidth="1" max="7" min="7" style="1" width="58.59765625"/>
    <col customWidth="1" max="8" min="8" style="1" width="8.06640625"/>
    <col customWidth="1" max="9" min="9" style="1" width="10.1328125"/>
    <col bestFit="1" customWidth="1" max="10" min="10" style="1" width="10.19921875"/>
    <col bestFit="1" customWidth="1" max="11" min="11" style="1" width="255.59765625"/>
    <col bestFit="1" customWidth="1" max="12" min="12" style="1" width="78.19921875"/>
    <col customWidth="1" max="13" min="13" style="1" width="12.19921875"/>
  </cols>
  <sheetData>
    <row r="1" spans="1:12">
      <c r="A1" s="2" t="s">
        <v>0</v>
      </c>
      <c r="B1" t="s">
        <v>1</v>
      </c>
      <c r="C1" t="s">
        <v>2</v>
      </c>
      <c r="D1" t="s">
        <v>3</v>
      </c>
      <c r="E1" t="s">
        <v>4</v>
      </c>
      <c r="F1" t="s">
        <v>5</v>
      </c>
      <c r="G1" t="s">
        <v>6</v>
      </c>
      <c r="H1" t="s">
        <v>7</v>
      </c>
      <c r="I1" t="s">
        <v>8</v>
      </c>
      <c r="J1" t="s">
        <v>9</v>
      </c>
      <c r="K1" t="s">
        <v>10</v>
      </c>
      <c r="L1" t="s">
        <v>11</v>
      </c>
    </row>
    <row hidden="1" r="2" s="1" spans="1:12">
      <c r="A2" s="4" t="n">
        <v>43121</v>
      </c>
      <c r="B2" t="s">
        <v>12</v>
      </c>
      <c r="C2" t="s">
        <v>13</v>
      </c>
      <c r="D2" t="s">
        <v>14</v>
      </c>
      <c r="E2" t="s">
        <v>15</v>
      </c>
      <c r="F2" t="s">
        <v>16</v>
      </c>
      <c r="G2" t="s">
        <v>12</v>
      </c>
      <c r="I2" t="s">
        <v>17</v>
      </c>
      <c r="J2" t="s">
        <v>18</v>
      </c>
      <c r="K2" t="s">
        <v>19</v>
      </c>
      <c r="L2" t="s">
        <v>20</v>
      </c>
    </row>
    <row hidden="1" r="3" s="1" spans="1:12">
      <c r="A3" s="4" t="n">
        <v>43121</v>
      </c>
      <c r="B3" t="s">
        <v>12</v>
      </c>
      <c r="C3" t="s">
        <v>21</v>
      </c>
      <c r="D3" t="s">
        <v>22</v>
      </c>
      <c r="E3" t="s">
        <v>15</v>
      </c>
      <c r="F3" t="s">
        <v>16</v>
      </c>
      <c r="G3" t="s">
        <v>12</v>
      </c>
      <c r="I3" t="s">
        <v>17</v>
      </c>
      <c r="J3" t="s">
        <v>18</v>
      </c>
      <c r="K3" t="s">
        <v>23</v>
      </c>
      <c r="L3" t="s">
        <v>24</v>
      </c>
    </row>
    <row hidden="1" r="4" s="1" spans="1:12">
      <c r="A4" s="4" t="n">
        <v>43121</v>
      </c>
      <c r="B4" t="s">
        <v>12</v>
      </c>
      <c r="C4" t="s">
        <v>13</v>
      </c>
      <c r="D4" t="s">
        <v>22</v>
      </c>
      <c r="E4" t="s">
        <v>15</v>
      </c>
      <c r="F4" t="s">
        <v>16</v>
      </c>
      <c r="G4" t="s">
        <v>12</v>
      </c>
      <c r="I4" t="s">
        <v>17</v>
      </c>
      <c r="J4" t="s">
        <v>18</v>
      </c>
      <c r="K4" t="s">
        <v>19</v>
      </c>
      <c r="L4" t="s">
        <v>25</v>
      </c>
    </row>
    <row hidden="1" r="5" s="1" spans="1:12">
      <c r="A5" s="4" t="n">
        <v>43121</v>
      </c>
      <c r="B5" t="s">
        <v>26</v>
      </c>
      <c r="C5" t="s">
        <v>27</v>
      </c>
      <c r="D5" t="s">
        <v>22</v>
      </c>
      <c r="E5" t="s">
        <v>15</v>
      </c>
      <c r="F5" t="s">
        <v>28</v>
      </c>
      <c r="G5" t="s">
        <v>29</v>
      </c>
      <c r="I5" t="s">
        <v>17</v>
      </c>
      <c r="J5" t="s">
        <v>18</v>
      </c>
      <c r="K5" t="s">
        <v>30</v>
      </c>
      <c r="L5" t="s">
        <v>31</v>
      </c>
    </row>
    <row hidden="1" r="6" s="1" spans="1:12">
      <c r="A6" s="4" t="n">
        <v>43121</v>
      </c>
      <c r="B6" t="s">
        <v>26</v>
      </c>
      <c r="C6" t="s">
        <v>27</v>
      </c>
      <c r="D6" t="s">
        <v>22</v>
      </c>
      <c r="E6" t="s">
        <v>15</v>
      </c>
      <c r="F6" t="s">
        <v>28</v>
      </c>
      <c r="G6" t="s">
        <v>32</v>
      </c>
      <c r="I6" t="s">
        <v>17</v>
      </c>
      <c r="J6" t="s">
        <v>18</v>
      </c>
      <c r="K6" t="s">
        <v>30</v>
      </c>
      <c r="L6" t="s">
        <v>33</v>
      </c>
    </row>
    <row hidden="1" r="7" s="1" spans="1:12">
      <c r="A7" s="4" t="n">
        <v>43121</v>
      </c>
      <c r="B7" t="s">
        <v>26</v>
      </c>
      <c r="C7" t="s">
        <v>27</v>
      </c>
      <c r="D7" t="s">
        <v>22</v>
      </c>
      <c r="E7" t="s">
        <v>15</v>
      </c>
      <c r="F7" t="s">
        <v>34</v>
      </c>
      <c r="G7" t="s">
        <v>35</v>
      </c>
      <c r="I7" t="s">
        <v>17</v>
      </c>
      <c r="J7" t="s">
        <v>18</v>
      </c>
      <c r="K7" t="s">
        <v>30</v>
      </c>
      <c r="L7" t="s">
        <v>36</v>
      </c>
    </row>
    <row hidden="1" r="8" s="1" spans="1:12">
      <c r="A8" s="4" t="n">
        <v>43121</v>
      </c>
      <c r="B8" t="s">
        <v>37</v>
      </c>
      <c r="C8" t="s">
        <v>38</v>
      </c>
      <c r="D8" t="s">
        <v>22</v>
      </c>
      <c r="E8" t="s">
        <v>15</v>
      </c>
      <c r="F8" t="s">
        <v>28</v>
      </c>
      <c r="G8" t="s">
        <v>39</v>
      </c>
      <c r="I8" t="s">
        <v>17</v>
      </c>
      <c r="J8" t="s">
        <v>18</v>
      </c>
      <c r="K8" t="s">
        <v>40</v>
      </c>
      <c r="L8" t="s">
        <v>41</v>
      </c>
    </row>
    <row hidden="1" r="9" s="1" spans="1:12">
      <c r="A9" s="4" t="n">
        <v>43121</v>
      </c>
      <c r="B9" t="s">
        <v>37</v>
      </c>
      <c r="C9" t="s">
        <v>38</v>
      </c>
      <c r="D9" t="s">
        <v>22</v>
      </c>
      <c r="E9" t="s">
        <v>15</v>
      </c>
      <c r="F9" t="s">
        <v>28</v>
      </c>
      <c r="G9" t="s">
        <v>39</v>
      </c>
      <c r="I9" t="s">
        <v>17</v>
      </c>
      <c r="J9" t="s">
        <v>18</v>
      </c>
      <c r="K9" t="s">
        <v>40</v>
      </c>
      <c r="L9" t="s">
        <v>41</v>
      </c>
    </row>
    <row hidden="1" r="10" s="1" spans="1:12">
      <c r="A10" s="4" t="n">
        <v>43121</v>
      </c>
      <c r="B10" t="s">
        <v>37</v>
      </c>
      <c r="C10" t="s">
        <v>38</v>
      </c>
      <c r="D10" t="s">
        <v>22</v>
      </c>
      <c r="E10" t="s">
        <v>15</v>
      </c>
      <c r="F10" t="s">
        <v>28</v>
      </c>
      <c r="G10" t="s">
        <v>42</v>
      </c>
      <c r="I10" t="s">
        <v>17</v>
      </c>
      <c r="J10" t="s">
        <v>18</v>
      </c>
      <c r="K10" t="s">
        <v>40</v>
      </c>
      <c r="L10" t="s">
        <v>43</v>
      </c>
    </row>
    <row hidden="1" r="11" s="1" spans="1:12">
      <c r="A11" s="4" t="n">
        <v>43121</v>
      </c>
      <c r="B11" t="s">
        <v>44</v>
      </c>
      <c r="C11" t="s">
        <v>45</v>
      </c>
      <c r="D11" t="s">
        <v>22</v>
      </c>
      <c r="E11" t="s">
        <v>15</v>
      </c>
      <c r="F11" t="s">
        <v>28</v>
      </c>
      <c r="G11" t="s">
        <v>46</v>
      </c>
      <c r="I11" t="s">
        <v>17</v>
      </c>
      <c r="J11" t="s">
        <v>18</v>
      </c>
      <c r="K11" t="s">
        <v>47</v>
      </c>
      <c r="L11" t="s">
        <v>48</v>
      </c>
    </row>
    <row r="12" spans="1:12">
      <c r="A12" s="4" t="n">
        <v>43121</v>
      </c>
      <c r="B12" t="s">
        <v>49</v>
      </c>
      <c r="C12" t="s">
        <v>50</v>
      </c>
      <c r="D12" t="s">
        <v>22</v>
      </c>
      <c r="E12" t="s">
        <v>51</v>
      </c>
      <c r="F12" t="s">
        <v>52</v>
      </c>
      <c r="G12" t="s">
        <v>53</v>
      </c>
      <c r="I12" t="s">
        <v>17</v>
      </c>
      <c r="J12" t="s">
        <v>18</v>
      </c>
      <c r="K12" t="s">
        <v>54</v>
      </c>
      <c r="L12" t="s">
        <v>55</v>
      </c>
    </row>
    <row r="13" spans="1:12">
      <c r="A13" s="4" t="n">
        <v>43121</v>
      </c>
      <c r="B13" t="s">
        <v>49</v>
      </c>
      <c r="C13" t="s">
        <v>50</v>
      </c>
      <c r="D13" t="s">
        <v>22</v>
      </c>
      <c r="E13" t="s">
        <v>51</v>
      </c>
      <c r="F13" t="s">
        <v>52</v>
      </c>
      <c r="G13" t="s">
        <v>53</v>
      </c>
      <c r="I13" t="s">
        <v>17</v>
      </c>
      <c r="J13" t="s">
        <v>18</v>
      </c>
      <c r="K13" t="s">
        <v>54</v>
      </c>
      <c r="L13" t="s">
        <v>55</v>
      </c>
    </row>
    <row r="14" spans="1:12">
      <c r="A14" s="4" t="n">
        <v>43121</v>
      </c>
      <c r="B14" t="s">
        <v>49</v>
      </c>
      <c r="C14" t="s">
        <v>50</v>
      </c>
      <c r="D14" t="s">
        <v>22</v>
      </c>
      <c r="E14" t="s">
        <v>51</v>
      </c>
      <c r="F14" t="s">
        <v>28</v>
      </c>
      <c r="G14" t="s">
        <v>56</v>
      </c>
      <c r="I14" t="s">
        <v>17</v>
      </c>
      <c r="J14" t="s">
        <v>18</v>
      </c>
      <c r="K14" t="s">
        <v>54</v>
      </c>
      <c r="L14" t="s">
        <v>57</v>
      </c>
    </row>
    <row r="15" spans="1:12">
      <c r="A15" s="4" t="n">
        <v>43121</v>
      </c>
      <c r="B15" t="s">
        <v>49</v>
      </c>
      <c r="C15" t="s">
        <v>50</v>
      </c>
      <c r="D15" t="s">
        <v>22</v>
      </c>
      <c r="E15" t="s">
        <v>51</v>
      </c>
      <c r="F15" t="s">
        <v>28</v>
      </c>
      <c r="G15" t="s">
        <v>58</v>
      </c>
      <c r="I15" t="s">
        <v>17</v>
      </c>
      <c r="J15" t="s">
        <v>18</v>
      </c>
      <c r="K15" t="s">
        <v>59</v>
      </c>
      <c r="L15" t="s">
        <v>60</v>
      </c>
    </row>
    <row r="16" spans="1:12">
      <c r="A16" s="4" t="n">
        <v>43121</v>
      </c>
      <c r="B16" t="s">
        <v>61</v>
      </c>
      <c r="C16" t="s">
        <v>62</v>
      </c>
      <c r="D16" t="s">
        <v>22</v>
      </c>
      <c r="E16" t="s">
        <v>51</v>
      </c>
      <c r="F16" t="s">
        <v>34</v>
      </c>
      <c r="G16" t="s">
        <v>63</v>
      </c>
      <c r="I16" t="s">
        <v>17</v>
      </c>
      <c r="J16" t="s">
        <v>18</v>
      </c>
      <c r="K16" t="s">
        <v>64</v>
      </c>
      <c r="L16" t="s">
        <v>65</v>
      </c>
    </row>
    <row r="17" spans="1:12">
      <c r="A17" s="4" t="n">
        <v>43121</v>
      </c>
      <c r="B17" t="s">
        <v>61</v>
      </c>
      <c r="C17" t="s">
        <v>62</v>
      </c>
      <c r="D17" t="s">
        <v>22</v>
      </c>
      <c r="E17" t="s">
        <v>51</v>
      </c>
      <c r="F17" t="s">
        <v>28</v>
      </c>
      <c r="G17" t="s">
        <v>66</v>
      </c>
      <c r="I17" t="s">
        <v>17</v>
      </c>
      <c r="J17" t="s">
        <v>18</v>
      </c>
      <c r="K17" t="s">
        <v>64</v>
      </c>
      <c r="L17" t="s">
        <v>67</v>
      </c>
    </row>
    <row hidden="1" r="18" s="1" spans="1:12">
      <c r="A18" s="4" t="n">
        <v>43121</v>
      </c>
      <c r="B18" t="s">
        <v>61</v>
      </c>
      <c r="C18" t="s">
        <v>62</v>
      </c>
      <c r="D18" t="s">
        <v>22</v>
      </c>
      <c r="E18" t="s">
        <v>15</v>
      </c>
      <c r="F18" t="s">
        <v>28</v>
      </c>
      <c r="G18" t="s">
        <v>68</v>
      </c>
      <c r="I18" t="s">
        <v>17</v>
      </c>
      <c r="J18" t="s">
        <v>18</v>
      </c>
      <c r="K18" t="s">
        <v>69</v>
      </c>
      <c r="L18" t="s">
        <v>70</v>
      </c>
    </row>
    <row hidden="1" r="19" s="1" spans="1:12">
      <c r="A19" s="4" t="n">
        <v>43121</v>
      </c>
      <c r="B19" t="s">
        <v>71</v>
      </c>
      <c r="C19" t="s">
        <v>72</v>
      </c>
      <c r="D19" t="s">
        <v>22</v>
      </c>
      <c r="E19" t="s">
        <v>15</v>
      </c>
      <c r="F19" t="s">
        <v>16</v>
      </c>
      <c r="G19" t="s">
        <v>73</v>
      </c>
      <c r="I19" t="s">
        <v>17</v>
      </c>
      <c r="J19" t="s">
        <v>18</v>
      </c>
      <c r="K19" t="s">
        <v>74</v>
      </c>
      <c r="L19" t="s">
        <v>75</v>
      </c>
    </row>
    <row hidden="1" r="20" s="1" spans="1:12">
      <c r="A20" s="4" t="n">
        <v>43121</v>
      </c>
      <c r="B20" t="s">
        <v>71</v>
      </c>
      <c r="C20" t="s">
        <v>72</v>
      </c>
      <c r="D20" t="s">
        <v>22</v>
      </c>
      <c r="E20" t="s">
        <v>15</v>
      </c>
      <c r="F20" t="s">
        <v>16</v>
      </c>
      <c r="G20" t="s">
        <v>73</v>
      </c>
      <c r="I20" t="s">
        <v>17</v>
      </c>
      <c r="J20" t="s">
        <v>18</v>
      </c>
      <c r="K20" t="s">
        <v>74</v>
      </c>
      <c r="L20" t="s">
        <v>75</v>
      </c>
    </row>
    <row hidden="1" r="21" s="1" spans="1:12">
      <c r="A21" s="4" t="n">
        <v>43121</v>
      </c>
      <c r="B21" t="s">
        <v>71</v>
      </c>
      <c r="C21" t="s">
        <v>76</v>
      </c>
      <c r="D21" t="s">
        <v>22</v>
      </c>
      <c r="E21" t="s">
        <v>15</v>
      </c>
      <c r="F21" t="s">
        <v>52</v>
      </c>
      <c r="G21" t="s">
        <v>77</v>
      </c>
      <c r="I21" t="s">
        <v>17</v>
      </c>
      <c r="J21" t="s">
        <v>18</v>
      </c>
      <c r="K21" t="s">
        <v>78</v>
      </c>
      <c r="L21" t="s">
        <v>79</v>
      </c>
    </row>
    <row hidden="1" r="22" s="1" spans="1:12">
      <c r="A22" s="4" t="n">
        <v>43121</v>
      </c>
      <c r="B22" t="s">
        <v>71</v>
      </c>
      <c r="C22" t="s">
        <v>80</v>
      </c>
      <c r="D22" t="s">
        <v>22</v>
      </c>
      <c r="E22" t="s">
        <v>15</v>
      </c>
      <c r="F22" t="s">
        <v>16</v>
      </c>
      <c r="G22" t="s">
        <v>81</v>
      </c>
      <c r="I22" t="s">
        <v>17</v>
      </c>
      <c r="J22" t="s">
        <v>18</v>
      </c>
      <c r="K22" t="s">
        <v>82</v>
      </c>
      <c r="L22" t="s">
        <v>83</v>
      </c>
    </row>
    <row hidden="1" r="23" s="1" spans="1:12">
      <c r="A23" s="4" t="n">
        <v>43121</v>
      </c>
      <c r="B23" t="s">
        <v>71</v>
      </c>
      <c r="C23" t="s">
        <v>76</v>
      </c>
      <c r="D23" t="s">
        <v>22</v>
      </c>
      <c r="E23" t="s">
        <v>15</v>
      </c>
      <c r="F23" t="s">
        <v>28</v>
      </c>
      <c r="G23" t="s">
        <v>84</v>
      </c>
      <c r="I23" t="s">
        <v>17</v>
      </c>
      <c r="J23" t="s">
        <v>18</v>
      </c>
      <c r="K23" t="s">
        <v>78</v>
      </c>
      <c r="L23" t="s">
        <v>85</v>
      </c>
    </row>
    <row hidden="1" r="24" s="1" spans="1:12">
      <c r="A24" s="4" t="n">
        <v>43121</v>
      </c>
      <c r="B24" t="s">
        <v>71</v>
      </c>
      <c r="C24" t="s">
        <v>76</v>
      </c>
      <c r="D24" t="s">
        <v>22</v>
      </c>
      <c r="E24" t="s">
        <v>15</v>
      </c>
      <c r="F24" t="s">
        <v>52</v>
      </c>
      <c r="G24" t="s">
        <v>86</v>
      </c>
      <c r="I24" t="s">
        <v>17</v>
      </c>
      <c r="J24" t="s">
        <v>18</v>
      </c>
      <c r="K24" t="s">
        <v>78</v>
      </c>
      <c r="L24" t="s">
        <v>87</v>
      </c>
    </row>
    <row hidden="1" r="25" s="1" spans="1:12">
      <c r="A25" s="4" t="n">
        <v>43121</v>
      </c>
      <c r="B25" t="s">
        <v>71</v>
      </c>
      <c r="C25" t="s">
        <v>62</v>
      </c>
      <c r="D25" t="s">
        <v>22</v>
      </c>
      <c r="E25" t="s">
        <v>15</v>
      </c>
      <c r="F25" t="s">
        <v>28</v>
      </c>
      <c r="G25" t="s">
        <v>88</v>
      </c>
      <c r="I25" t="s">
        <v>17</v>
      </c>
      <c r="J25" t="s">
        <v>18</v>
      </c>
      <c r="K25" t="s">
        <v>78</v>
      </c>
      <c r="L25" t="s">
        <v>89</v>
      </c>
    </row>
    <row hidden="1" r="26" s="1" spans="1:12">
      <c r="A26" s="4" t="n">
        <v>43121</v>
      </c>
      <c r="B26" t="s">
        <v>71</v>
      </c>
      <c r="C26" t="s">
        <v>62</v>
      </c>
      <c r="D26" t="s">
        <v>22</v>
      </c>
      <c r="E26" t="s">
        <v>15</v>
      </c>
      <c r="F26" t="s">
        <v>28</v>
      </c>
      <c r="G26" t="s">
        <v>90</v>
      </c>
      <c r="I26" t="s">
        <v>17</v>
      </c>
      <c r="J26" t="s">
        <v>18</v>
      </c>
      <c r="K26" t="s">
        <v>91</v>
      </c>
      <c r="L26" t="s">
        <v>92</v>
      </c>
    </row>
    <row hidden="1" r="27" s="1" spans="1:12">
      <c r="A27" s="4" t="n">
        <v>43121</v>
      </c>
      <c r="B27" t="s">
        <v>71</v>
      </c>
      <c r="C27" t="s">
        <v>93</v>
      </c>
      <c r="D27" t="s">
        <v>22</v>
      </c>
      <c r="E27" t="s">
        <v>15</v>
      </c>
      <c r="F27" t="s">
        <v>52</v>
      </c>
      <c r="G27" t="s">
        <v>94</v>
      </c>
      <c r="I27" t="s">
        <v>17</v>
      </c>
      <c r="J27" t="s">
        <v>18</v>
      </c>
      <c r="K27" t="s">
        <v>95</v>
      </c>
      <c r="L27" t="s">
        <v>96</v>
      </c>
    </row>
    <row hidden="1" r="28" s="1" spans="1:12">
      <c r="A28" s="4" t="n">
        <v>43121</v>
      </c>
      <c r="B28" t="s">
        <v>71</v>
      </c>
      <c r="C28" t="s">
        <v>62</v>
      </c>
      <c r="D28" t="s">
        <v>22</v>
      </c>
      <c r="E28" t="s">
        <v>15</v>
      </c>
      <c r="F28" t="s">
        <v>34</v>
      </c>
      <c r="G28" t="s">
        <v>97</v>
      </c>
      <c r="I28" t="s">
        <v>17</v>
      </c>
      <c r="J28" t="s">
        <v>18</v>
      </c>
      <c r="K28" t="s">
        <v>95</v>
      </c>
      <c r="L28" t="s">
        <v>98</v>
      </c>
    </row>
    <row hidden="1" r="29" s="1" spans="1:12">
      <c r="A29" s="4" t="n">
        <v>43121</v>
      </c>
      <c r="B29" t="s">
        <v>71</v>
      </c>
      <c r="C29" t="s">
        <v>76</v>
      </c>
      <c r="D29" t="s">
        <v>22</v>
      </c>
      <c r="E29" t="s">
        <v>15</v>
      </c>
      <c r="F29" t="s">
        <v>28</v>
      </c>
      <c r="G29" t="s">
        <v>99</v>
      </c>
      <c r="I29" t="s">
        <v>17</v>
      </c>
      <c r="J29" t="s">
        <v>18</v>
      </c>
      <c r="K29" t="s">
        <v>78</v>
      </c>
      <c r="L29" t="s">
        <v>100</v>
      </c>
    </row>
    <row hidden="1" r="30" s="1" spans="1:12">
      <c r="A30" s="4" t="n">
        <v>43121</v>
      </c>
      <c r="B30" t="s">
        <v>71</v>
      </c>
      <c r="C30" t="s">
        <v>80</v>
      </c>
      <c r="D30" t="s">
        <v>22</v>
      </c>
      <c r="E30" t="s">
        <v>15</v>
      </c>
      <c r="F30" t="s">
        <v>16</v>
      </c>
      <c r="G30" t="s">
        <v>81</v>
      </c>
      <c r="I30" t="s">
        <v>17</v>
      </c>
      <c r="J30" t="s">
        <v>18</v>
      </c>
      <c r="K30" t="s">
        <v>82</v>
      </c>
      <c r="L30" t="s">
        <v>83</v>
      </c>
    </row>
    <row hidden="1" r="31" s="1" spans="1:12">
      <c r="A31" s="4" t="n">
        <v>43121</v>
      </c>
      <c r="B31" t="s">
        <v>71</v>
      </c>
      <c r="C31" t="s">
        <v>72</v>
      </c>
      <c r="D31" t="s">
        <v>22</v>
      </c>
      <c r="E31" t="s">
        <v>15</v>
      </c>
      <c r="F31" t="s">
        <v>52</v>
      </c>
      <c r="G31" t="s">
        <v>101</v>
      </c>
      <c r="I31" t="s">
        <v>17</v>
      </c>
      <c r="J31" t="s">
        <v>18</v>
      </c>
      <c r="K31" t="s">
        <v>91</v>
      </c>
      <c r="L31" t="s">
        <v>102</v>
      </c>
    </row>
    <row hidden="1" r="32" s="1" spans="1:12">
      <c r="A32" s="4" t="n">
        <v>43121</v>
      </c>
      <c r="B32" t="s">
        <v>71</v>
      </c>
      <c r="C32" t="s">
        <v>80</v>
      </c>
      <c r="D32" t="s">
        <v>22</v>
      </c>
      <c r="E32" t="s">
        <v>15</v>
      </c>
      <c r="F32" t="s">
        <v>34</v>
      </c>
      <c r="G32" t="s">
        <v>97</v>
      </c>
      <c r="I32" t="s">
        <v>17</v>
      </c>
      <c r="J32" t="s">
        <v>18</v>
      </c>
      <c r="K32" t="s">
        <v>95</v>
      </c>
      <c r="L32" t="s">
        <v>103</v>
      </c>
    </row>
    <row hidden="1" r="33" s="1" spans="1:12">
      <c r="A33" s="4" t="n">
        <v>43121</v>
      </c>
      <c r="B33" t="s">
        <v>104</v>
      </c>
      <c r="C33" t="s">
        <v>93</v>
      </c>
      <c r="D33" t="s">
        <v>22</v>
      </c>
      <c r="E33" t="s">
        <v>15</v>
      </c>
      <c r="F33" t="s">
        <v>16</v>
      </c>
      <c r="G33" t="s">
        <v>104</v>
      </c>
      <c r="I33" t="s">
        <v>17</v>
      </c>
      <c r="J33" t="s">
        <v>18</v>
      </c>
      <c r="K33" t="s">
        <v>105</v>
      </c>
      <c r="L33" t="s">
        <v>106</v>
      </c>
    </row>
    <row hidden="1" r="34" s="1" spans="1:12">
      <c r="A34" s="4" t="n">
        <v>43121</v>
      </c>
      <c r="B34" t="s">
        <v>104</v>
      </c>
      <c r="C34" t="s">
        <v>80</v>
      </c>
      <c r="D34" t="s">
        <v>22</v>
      </c>
      <c r="E34" t="s">
        <v>15</v>
      </c>
      <c r="F34" t="s">
        <v>16</v>
      </c>
      <c r="G34" t="s">
        <v>104</v>
      </c>
      <c r="I34" t="s">
        <v>17</v>
      </c>
      <c r="J34" t="s">
        <v>18</v>
      </c>
      <c r="K34" t="s">
        <v>107</v>
      </c>
      <c r="L34" t="s">
        <v>108</v>
      </c>
    </row>
    <row hidden="1" r="35" s="1" spans="1:12">
      <c r="A35" s="4" t="n">
        <v>43121</v>
      </c>
      <c r="B35" t="s">
        <v>109</v>
      </c>
      <c r="C35" t="s">
        <v>80</v>
      </c>
      <c r="D35" t="s">
        <v>22</v>
      </c>
      <c r="E35" t="s">
        <v>15</v>
      </c>
      <c r="F35" t="s">
        <v>16</v>
      </c>
      <c r="G35" t="s">
        <v>109</v>
      </c>
      <c r="I35" t="s">
        <v>17</v>
      </c>
      <c r="J35" t="s">
        <v>18</v>
      </c>
      <c r="K35" t="s">
        <v>110</v>
      </c>
      <c r="L35" t="s">
        <v>111</v>
      </c>
    </row>
    <row hidden="1" r="36" s="1" spans="1:12">
      <c r="A36" s="4" t="n">
        <v>43121</v>
      </c>
      <c r="B36" t="s">
        <v>109</v>
      </c>
      <c r="C36" t="s">
        <v>112</v>
      </c>
      <c r="D36" t="s">
        <v>22</v>
      </c>
      <c r="E36" t="s">
        <v>15</v>
      </c>
      <c r="F36" t="s">
        <v>16</v>
      </c>
      <c r="G36" t="s">
        <v>109</v>
      </c>
      <c r="I36" t="s">
        <v>17</v>
      </c>
      <c r="J36" t="s">
        <v>18</v>
      </c>
      <c r="K36" t="s">
        <v>113</v>
      </c>
      <c r="L36" t="s">
        <v>114</v>
      </c>
    </row>
    <row hidden="1" r="37" s="1" spans="1:12">
      <c r="A37" s="4" t="n">
        <v>43121</v>
      </c>
      <c r="B37" t="s">
        <v>109</v>
      </c>
      <c r="C37" t="s">
        <v>80</v>
      </c>
      <c r="D37" t="s">
        <v>22</v>
      </c>
      <c r="E37" t="s">
        <v>15</v>
      </c>
      <c r="F37" t="s">
        <v>16</v>
      </c>
      <c r="G37" t="s">
        <v>109</v>
      </c>
      <c r="I37" t="s">
        <v>17</v>
      </c>
      <c r="J37" t="s">
        <v>18</v>
      </c>
      <c r="K37" t="s">
        <v>110</v>
      </c>
      <c r="L37" t="s">
        <v>111</v>
      </c>
    </row>
    <row hidden="1" r="38" s="1" spans="1:12">
      <c r="A38" s="4" t="n">
        <v>43121</v>
      </c>
      <c r="B38" t="s">
        <v>115</v>
      </c>
      <c r="C38" t="s">
        <v>116</v>
      </c>
      <c r="D38" t="s">
        <v>22</v>
      </c>
      <c r="E38" t="s">
        <v>15</v>
      </c>
      <c r="F38" t="s">
        <v>16</v>
      </c>
      <c r="G38" t="s">
        <v>117</v>
      </c>
      <c r="I38" t="s">
        <v>17</v>
      </c>
      <c r="J38" t="s">
        <v>18</v>
      </c>
      <c r="K38" t="s">
        <v>118</v>
      </c>
      <c r="L38" t="s">
        <v>119</v>
      </c>
    </row>
    <row hidden="1" r="39" s="1" spans="1:12">
      <c r="A39" s="4" t="n">
        <v>43121</v>
      </c>
      <c r="B39" t="s">
        <v>115</v>
      </c>
      <c r="C39" t="s">
        <v>62</v>
      </c>
      <c r="D39" t="s">
        <v>22</v>
      </c>
      <c r="E39" t="s">
        <v>15</v>
      </c>
      <c r="F39" t="s">
        <v>16</v>
      </c>
      <c r="G39" t="s">
        <v>120</v>
      </c>
      <c r="I39" t="s">
        <v>17</v>
      </c>
      <c r="J39" t="s">
        <v>18</v>
      </c>
      <c r="K39" t="s">
        <v>121</v>
      </c>
      <c r="L39" t="s">
        <v>122</v>
      </c>
    </row>
    <row hidden="1" r="40" s="1" spans="1:12">
      <c r="A40" s="4" t="n">
        <v>43121</v>
      </c>
      <c r="B40" t="s">
        <v>123</v>
      </c>
      <c r="C40" t="s">
        <v>124</v>
      </c>
      <c r="D40" t="s">
        <v>22</v>
      </c>
      <c r="E40" t="s">
        <v>15</v>
      </c>
      <c r="F40" t="s">
        <v>16</v>
      </c>
      <c r="G40" t="s">
        <v>123</v>
      </c>
      <c r="I40" t="s">
        <v>17</v>
      </c>
      <c r="J40" t="s">
        <v>18</v>
      </c>
      <c r="K40" t="s">
        <v>125</v>
      </c>
      <c r="L40" t="s">
        <v>126</v>
      </c>
    </row>
    <row hidden="1" r="41" s="1" spans="1:12">
      <c r="A41" s="4" t="n">
        <v>43121</v>
      </c>
      <c r="B41" t="s">
        <v>127</v>
      </c>
      <c r="C41" t="s">
        <v>128</v>
      </c>
      <c r="D41" t="s">
        <v>22</v>
      </c>
      <c r="E41" t="s">
        <v>15</v>
      </c>
      <c r="F41" t="s">
        <v>16</v>
      </c>
      <c r="G41" t="s">
        <v>129</v>
      </c>
      <c r="I41" t="s">
        <v>17</v>
      </c>
      <c r="J41" t="s">
        <v>18</v>
      </c>
      <c r="K41" t="s">
        <v>130</v>
      </c>
      <c r="L41" t="s">
        <v>131</v>
      </c>
    </row>
    <row hidden="1" r="42" s="1" spans="1:12">
      <c r="A42" s="4" t="n">
        <v>43121</v>
      </c>
      <c r="B42" t="s">
        <v>132</v>
      </c>
      <c r="C42" t="s">
        <v>93</v>
      </c>
      <c r="D42" t="s">
        <v>22</v>
      </c>
      <c r="E42" t="s">
        <v>15</v>
      </c>
      <c r="F42" t="s">
        <v>28</v>
      </c>
      <c r="G42" t="s">
        <v>133</v>
      </c>
      <c r="I42" t="s">
        <v>17</v>
      </c>
      <c r="J42" t="s">
        <v>18</v>
      </c>
      <c r="K42" t="s">
        <v>134</v>
      </c>
      <c r="L42" t="s">
        <v>135</v>
      </c>
    </row>
    <row hidden="1" r="43" s="1" spans="1:12">
      <c r="A43" s="4" t="n">
        <v>43121</v>
      </c>
      <c r="B43" t="s">
        <v>136</v>
      </c>
      <c r="C43" t="s">
        <v>137</v>
      </c>
      <c r="D43" t="s">
        <v>22</v>
      </c>
      <c r="E43" t="s">
        <v>15</v>
      </c>
      <c r="F43" t="s">
        <v>16</v>
      </c>
      <c r="G43" t="s">
        <v>138</v>
      </c>
      <c r="I43" t="s">
        <v>17</v>
      </c>
      <c r="J43" t="s">
        <v>18</v>
      </c>
      <c r="K43" t="s">
        <v>139</v>
      </c>
      <c r="L43" t="s">
        <v>140</v>
      </c>
    </row>
    <row hidden="1" r="44" s="1" spans="1:12">
      <c r="A44" s="4" t="n">
        <v>43121</v>
      </c>
      <c r="B44" t="s">
        <v>136</v>
      </c>
      <c r="C44" t="s">
        <v>137</v>
      </c>
      <c r="D44" t="s">
        <v>22</v>
      </c>
      <c r="E44" t="s">
        <v>15</v>
      </c>
      <c r="F44" t="s">
        <v>16</v>
      </c>
      <c r="G44" t="s">
        <v>138</v>
      </c>
      <c r="I44" t="s">
        <v>17</v>
      </c>
      <c r="J44" t="s">
        <v>18</v>
      </c>
      <c r="K44" t="s">
        <v>139</v>
      </c>
      <c r="L44" t="s">
        <v>141</v>
      </c>
    </row>
    <row hidden="1" r="45" s="1" spans="1:12">
      <c r="A45" s="4" t="n">
        <v>43121</v>
      </c>
      <c r="B45" t="s">
        <v>142</v>
      </c>
      <c r="C45" t="s">
        <v>143</v>
      </c>
      <c r="D45" t="s">
        <v>22</v>
      </c>
      <c r="E45" t="s">
        <v>15</v>
      </c>
      <c r="F45" t="s">
        <v>28</v>
      </c>
      <c r="G45" t="s">
        <v>144</v>
      </c>
      <c r="I45" t="s">
        <v>17</v>
      </c>
      <c r="J45" t="s">
        <v>18</v>
      </c>
      <c r="K45" t="s">
        <v>145</v>
      </c>
      <c r="L45" t="s">
        <v>146</v>
      </c>
    </row>
    <row hidden="1" r="46" s="1" spans="1:12">
      <c r="A46" s="4" t="n">
        <v>43121</v>
      </c>
      <c r="B46" t="s">
        <v>142</v>
      </c>
      <c r="C46" t="s">
        <v>143</v>
      </c>
      <c r="D46" t="s">
        <v>22</v>
      </c>
      <c r="E46" t="s">
        <v>15</v>
      </c>
      <c r="F46" t="s">
        <v>28</v>
      </c>
      <c r="G46" t="s">
        <v>144</v>
      </c>
      <c r="I46" t="s">
        <v>17</v>
      </c>
      <c r="J46" t="s">
        <v>18</v>
      </c>
      <c r="K46" t="s">
        <v>145</v>
      </c>
      <c r="L46" t="s">
        <v>146</v>
      </c>
    </row>
    <row hidden="1" r="47" s="1" spans="1:12">
      <c r="A47" s="4" t="n">
        <v>43121</v>
      </c>
      <c r="B47" t="s">
        <v>142</v>
      </c>
      <c r="C47" t="s">
        <v>143</v>
      </c>
      <c r="D47" t="s">
        <v>22</v>
      </c>
      <c r="E47" t="s">
        <v>15</v>
      </c>
      <c r="F47" t="s">
        <v>52</v>
      </c>
      <c r="G47" t="s">
        <v>147</v>
      </c>
      <c r="I47" t="s">
        <v>17</v>
      </c>
      <c r="J47" t="s">
        <v>18</v>
      </c>
      <c r="K47" t="s">
        <v>145</v>
      </c>
      <c r="L47" t="s">
        <v>148</v>
      </c>
    </row>
    <row hidden="1" r="48" s="1" spans="1:12">
      <c r="A48" s="4" t="n">
        <v>43121</v>
      </c>
      <c r="B48" t="s">
        <v>142</v>
      </c>
      <c r="C48" t="s">
        <v>143</v>
      </c>
      <c r="D48" t="s">
        <v>22</v>
      </c>
      <c r="E48" t="s">
        <v>15</v>
      </c>
      <c r="F48" t="s">
        <v>28</v>
      </c>
      <c r="G48" t="s">
        <v>58</v>
      </c>
      <c r="I48" t="s">
        <v>17</v>
      </c>
      <c r="J48" t="s">
        <v>18</v>
      </c>
      <c r="K48" t="s">
        <v>149</v>
      </c>
      <c r="L48" t="s">
        <v>150</v>
      </c>
    </row>
    <row hidden="1" r="49" s="1" spans="1:12">
      <c r="A49" s="4" t="n">
        <v>43121</v>
      </c>
      <c r="B49" t="s">
        <v>151</v>
      </c>
      <c r="C49" t="s">
        <v>152</v>
      </c>
      <c r="D49" t="s">
        <v>22</v>
      </c>
      <c r="E49" t="s">
        <v>15</v>
      </c>
      <c r="F49" t="s">
        <v>28</v>
      </c>
      <c r="G49" t="s">
        <v>153</v>
      </c>
      <c r="I49" t="s">
        <v>17</v>
      </c>
      <c r="J49" t="s">
        <v>18</v>
      </c>
      <c r="K49" t="s">
        <v>154</v>
      </c>
      <c r="L49" t="s">
        <v>155</v>
      </c>
    </row>
    <row hidden="1" r="50" s="1" spans="1:12">
      <c r="A50" s="4" t="n">
        <v>43121</v>
      </c>
      <c r="B50" t="s">
        <v>156</v>
      </c>
      <c r="C50" t="s">
        <v>157</v>
      </c>
      <c r="D50" t="s">
        <v>22</v>
      </c>
      <c r="E50" t="s">
        <v>15</v>
      </c>
      <c r="F50" t="s">
        <v>34</v>
      </c>
      <c r="G50" t="s">
        <v>158</v>
      </c>
      <c r="I50" t="s">
        <v>17</v>
      </c>
      <c r="J50" t="s">
        <v>18</v>
      </c>
      <c r="K50" t="s">
        <v>159</v>
      </c>
      <c r="L50" t="s">
        <v>160</v>
      </c>
    </row>
    <row hidden="1" r="51" s="1" spans="1:12">
      <c r="A51" s="4" t="n">
        <v>43121</v>
      </c>
      <c r="B51" t="s">
        <v>156</v>
      </c>
      <c r="C51" t="s">
        <v>157</v>
      </c>
      <c r="D51" t="s">
        <v>22</v>
      </c>
      <c r="E51" t="s">
        <v>15</v>
      </c>
      <c r="F51" t="s">
        <v>34</v>
      </c>
      <c r="G51" t="s">
        <v>158</v>
      </c>
      <c r="I51" t="s">
        <v>17</v>
      </c>
      <c r="J51" t="s">
        <v>18</v>
      </c>
      <c r="K51" t="s">
        <v>159</v>
      </c>
      <c r="L51" t="s">
        <v>160</v>
      </c>
    </row>
    <row r="52" spans="1:12">
      <c r="A52" s="4" t="n">
        <v>43121</v>
      </c>
      <c r="B52" t="s">
        <v>156</v>
      </c>
      <c r="C52" t="s">
        <v>157</v>
      </c>
      <c r="D52" t="s">
        <v>22</v>
      </c>
      <c r="E52" t="s">
        <v>51</v>
      </c>
      <c r="F52" t="s">
        <v>16</v>
      </c>
      <c r="G52" t="s">
        <v>161</v>
      </c>
      <c r="I52" t="s">
        <v>17</v>
      </c>
      <c r="J52" t="s">
        <v>18</v>
      </c>
      <c r="K52" t="s">
        <v>162</v>
      </c>
      <c r="L52" t="s">
        <v>163</v>
      </c>
    </row>
    <row hidden="1" r="53" s="1" spans="1:12">
      <c r="A53" s="4" t="n">
        <v>43121</v>
      </c>
      <c r="B53" t="s">
        <v>164</v>
      </c>
      <c r="C53" t="s">
        <v>80</v>
      </c>
      <c r="D53" t="s">
        <v>22</v>
      </c>
      <c r="E53" t="s">
        <v>15</v>
      </c>
      <c r="F53" t="s">
        <v>16</v>
      </c>
      <c r="G53" t="s">
        <v>165</v>
      </c>
      <c r="I53" t="s">
        <v>17</v>
      </c>
      <c r="J53" t="s">
        <v>18</v>
      </c>
      <c r="K53" t="s">
        <v>166</v>
      </c>
      <c r="L53" t="s">
        <v>167</v>
      </c>
    </row>
    <row hidden="1" r="54" s="1" spans="1:12">
      <c r="A54" s="4" t="n">
        <v>43121</v>
      </c>
      <c r="B54" t="s">
        <v>164</v>
      </c>
      <c r="C54" t="s">
        <v>80</v>
      </c>
      <c r="D54" t="s">
        <v>22</v>
      </c>
      <c r="E54" t="s">
        <v>15</v>
      </c>
      <c r="F54" t="s">
        <v>52</v>
      </c>
      <c r="G54" t="s">
        <v>168</v>
      </c>
      <c r="I54" t="s">
        <v>17</v>
      </c>
      <c r="J54" t="s">
        <v>18</v>
      </c>
      <c r="K54" t="s">
        <v>169</v>
      </c>
      <c r="L54" t="s">
        <v>170</v>
      </c>
    </row>
    <row hidden="1" r="55" s="1" spans="1:12">
      <c r="A55" s="4" t="n">
        <v>43121</v>
      </c>
      <c r="B55" t="s">
        <v>164</v>
      </c>
      <c r="C55" t="s">
        <v>80</v>
      </c>
      <c r="D55" t="s">
        <v>22</v>
      </c>
      <c r="E55" t="s">
        <v>15</v>
      </c>
      <c r="F55" t="s">
        <v>52</v>
      </c>
      <c r="G55" t="s">
        <v>171</v>
      </c>
      <c r="I55" t="s">
        <v>17</v>
      </c>
      <c r="J55" t="s">
        <v>18</v>
      </c>
      <c r="K55" t="s">
        <v>172</v>
      </c>
      <c r="L55" t="s">
        <v>173</v>
      </c>
    </row>
    <row hidden="1" r="56" s="1" spans="1:12">
      <c r="A56" s="4" t="n">
        <v>43121</v>
      </c>
      <c r="B56" t="s">
        <v>174</v>
      </c>
      <c r="C56" t="s">
        <v>62</v>
      </c>
      <c r="D56" t="s">
        <v>22</v>
      </c>
      <c r="E56" t="s">
        <v>15</v>
      </c>
      <c r="F56" t="s">
        <v>52</v>
      </c>
      <c r="G56" t="s">
        <v>175</v>
      </c>
      <c r="I56" t="s">
        <v>17</v>
      </c>
      <c r="J56" t="s">
        <v>18</v>
      </c>
      <c r="K56" t="s">
        <v>176</v>
      </c>
      <c r="L56" t="s">
        <v>177</v>
      </c>
    </row>
    <row hidden="1" r="57" s="1" spans="1:12">
      <c r="A57" s="4" t="n">
        <v>43121</v>
      </c>
      <c r="B57" t="s">
        <v>174</v>
      </c>
      <c r="C57" t="s">
        <v>80</v>
      </c>
      <c r="D57" t="s">
        <v>22</v>
      </c>
      <c r="E57" t="s">
        <v>15</v>
      </c>
      <c r="F57" t="s">
        <v>52</v>
      </c>
      <c r="G57" t="s">
        <v>178</v>
      </c>
      <c r="I57" t="s">
        <v>17</v>
      </c>
      <c r="J57" t="s">
        <v>18</v>
      </c>
      <c r="K57" t="s">
        <v>179</v>
      </c>
      <c r="L57" t="s">
        <v>180</v>
      </c>
    </row>
    <row hidden="1" r="58" s="1" spans="1:12">
      <c r="A58" s="4" t="n">
        <v>43121</v>
      </c>
      <c r="B58" t="s">
        <v>174</v>
      </c>
      <c r="C58" t="s">
        <v>93</v>
      </c>
      <c r="D58" t="s">
        <v>22</v>
      </c>
      <c r="E58" t="s">
        <v>15</v>
      </c>
      <c r="F58" t="s">
        <v>28</v>
      </c>
      <c r="G58" t="s">
        <v>181</v>
      </c>
      <c r="I58" t="s">
        <v>17</v>
      </c>
      <c r="J58" t="s">
        <v>18</v>
      </c>
      <c r="K58" t="s">
        <v>176</v>
      </c>
      <c r="L58" t="s">
        <v>182</v>
      </c>
    </row>
    <row hidden="1" r="59" s="1" spans="1:12">
      <c r="A59" s="4" t="n">
        <v>43121</v>
      </c>
      <c r="B59" t="s">
        <v>174</v>
      </c>
      <c r="C59" t="s">
        <v>38</v>
      </c>
      <c r="D59" t="s">
        <v>22</v>
      </c>
      <c r="E59" t="s">
        <v>15</v>
      </c>
      <c r="F59" t="s">
        <v>28</v>
      </c>
      <c r="G59" t="s">
        <v>183</v>
      </c>
      <c r="I59" t="s">
        <v>17</v>
      </c>
      <c r="J59" t="s">
        <v>18</v>
      </c>
      <c r="K59" t="s">
        <v>179</v>
      </c>
      <c r="L59" t="s">
        <v>184</v>
      </c>
    </row>
    <row hidden="1" r="60" s="1" spans="1:12">
      <c r="A60" s="4" t="n">
        <v>43121</v>
      </c>
      <c r="B60" t="s">
        <v>174</v>
      </c>
      <c r="C60" t="s">
        <v>62</v>
      </c>
      <c r="D60" t="s">
        <v>22</v>
      </c>
      <c r="E60" t="s">
        <v>15</v>
      </c>
      <c r="F60" t="s">
        <v>28</v>
      </c>
      <c r="G60" t="s">
        <v>185</v>
      </c>
      <c r="I60" t="s">
        <v>17</v>
      </c>
      <c r="J60" t="s">
        <v>18</v>
      </c>
      <c r="K60" t="s">
        <v>176</v>
      </c>
      <c r="L60" t="s">
        <v>186</v>
      </c>
    </row>
    <row hidden="1" r="61" s="1" spans="1:12">
      <c r="A61" s="4" t="n">
        <v>43121</v>
      </c>
      <c r="B61" t="s">
        <v>174</v>
      </c>
      <c r="C61" t="s">
        <v>62</v>
      </c>
      <c r="D61" t="s">
        <v>22</v>
      </c>
      <c r="E61" t="s">
        <v>15</v>
      </c>
      <c r="F61" t="s">
        <v>28</v>
      </c>
      <c r="G61" t="s">
        <v>187</v>
      </c>
      <c r="I61" t="s">
        <v>17</v>
      </c>
      <c r="J61" t="s">
        <v>18</v>
      </c>
      <c r="K61" t="s">
        <v>188</v>
      </c>
      <c r="L61" t="s">
        <v>189</v>
      </c>
    </row>
    <row hidden="1" r="62" s="1" spans="1:12">
      <c r="A62" s="4" t="n">
        <v>43121</v>
      </c>
      <c r="B62" t="s">
        <v>174</v>
      </c>
      <c r="C62" t="s">
        <v>80</v>
      </c>
      <c r="D62" t="s">
        <v>22</v>
      </c>
      <c r="E62" t="s">
        <v>15</v>
      </c>
      <c r="F62" t="s">
        <v>52</v>
      </c>
      <c r="G62" t="s">
        <v>190</v>
      </c>
      <c r="I62" t="s">
        <v>17</v>
      </c>
      <c r="J62" t="s">
        <v>18</v>
      </c>
      <c r="K62" t="s">
        <v>176</v>
      </c>
      <c r="L62" t="s">
        <v>191</v>
      </c>
    </row>
    <row hidden="1" r="63" s="1" spans="1:12">
      <c r="A63" s="4" t="n">
        <v>43121</v>
      </c>
      <c r="B63" t="s">
        <v>174</v>
      </c>
      <c r="C63" t="s">
        <v>62</v>
      </c>
      <c r="D63" t="s">
        <v>22</v>
      </c>
      <c r="E63" t="s">
        <v>15</v>
      </c>
      <c r="F63" t="s">
        <v>28</v>
      </c>
      <c r="G63" t="s">
        <v>187</v>
      </c>
      <c r="I63" t="s">
        <v>17</v>
      </c>
      <c r="J63" t="s">
        <v>18</v>
      </c>
      <c r="K63" t="s">
        <v>188</v>
      </c>
      <c r="L63" t="s">
        <v>189</v>
      </c>
    </row>
    <row hidden="1" r="64" s="1" spans="1:12">
      <c r="A64" s="4" t="n">
        <v>43121</v>
      </c>
      <c r="B64" t="s">
        <v>174</v>
      </c>
      <c r="C64" t="s">
        <v>38</v>
      </c>
      <c r="D64" t="s">
        <v>22</v>
      </c>
      <c r="E64" t="s">
        <v>15</v>
      </c>
      <c r="F64" t="s">
        <v>52</v>
      </c>
      <c r="G64" t="s">
        <v>192</v>
      </c>
      <c r="I64" t="s">
        <v>17</v>
      </c>
      <c r="J64" t="s">
        <v>18</v>
      </c>
      <c r="K64" t="s">
        <v>179</v>
      </c>
      <c r="L64" t="s">
        <v>193</v>
      </c>
    </row>
    <row hidden="1" r="65" s="1" spans="1:12">
      <c r="A65" s="4" t="n">
        <v>43121</v>
      </c>
      <c r="B65" t="s">
        <v>174</v>
      </c>
      <c r="C65" t="s">
        <v>93</v>
      </c>
      <c r="D65" t="s">
        <v>22</v>
      </c>
      <c r="E65" t="s">
        <v>15</v>
      </c>
      <c r="F65" t="s">
        <v>28</v>
      </c>
      <c r="G65" t="s">
        <v>194</v>
      </c>
      <c r="I65" t="s">
        <v>17</v>
      </c>
      <c r="J65" t="s">
        <v>18</v>
      </c>
      <c r="K65" t="s">
        <v>176</v>
      </c>
      <c r="L65" t="s">
        <v>195</v>
      </c>
    </row>
    <row hidden="1" r="66" s="1" spans="1:12">
      <c r="A66" s="4" t="n">
        <v>43121</v>
      </c>
      <c r="B66" t="s">
        <v>196</v>
      </c>
      <c r="C66" t="s">
        <v>197</v>
      </c>
      <c r="D66" t="s">
        <v>22</v>
      </c>
      <c r="E66" t="s">
        <v>15</v>
      </c>
      <c r="F66" t="s">
        <v>28</v>
      </c>
      <c r="G66" t="s">
        <v>198</v>
      </c>
      <c r="I66" t="s">
        <v>17</v>
      </c>
      <c r="J66" t="s">
        <v>18</v>
      </c>
      <c r="K66" t="s">
        <v>199</v>
      </c>
      <c r="L66" t="s">
        <v>200</v>
      </c>
    </row>
    <row hidden="1" r="67" s="1" spans="1:12">
      <c r="A67" s="4" t="n">
        <v>43121</v>
      </c>
      <c r="B67" t="s">
        <v>196</v>
      </c>
      <c r="C67" t="s">
        <v>197</v>
      </c>
      <c r="D67" t="s">
        <v>22</v>
      </c>
      <c r="E67" t="s">
        <v>15</v>
      </c>
      <c r="F67" t="s">
        <v>34</v>
      </c>
      <c r="G67" t="s">
        <v>201</v>
      </c>
      <c r="I67" t="s">
        <v>17</v>
      </c>
      <c r="J67" t="s">
        <v>18</v>
      </c>
      <c r="K67" t="s">
        <v>199</v>
      </c>
      <c r="L67" t="s">
        <v>202</v>
      </c>
    </row>
    <row hidden="1" r="68" s="1" spans="1:12">
      <c r="A68" s="4" t="n">
        <v>43121</v>
      </c>
      <c r="B68" t="s">
        <v>196</v>
      </c>
      <c r="C68" t="s">
        <v>197</v>
      </c>
      <c r="D68" t="s">
        <v>22</v>
      </c>
      <c r="E68" t="s">
        <v>15</v>
      </c>
      <c r="F68" t="s">
        <v>52</v>
      </c>
      <c r="G68" t="s">
        <v>203</v>
      </c>
      <c r="I68" t="s">
        <v>17</v>
      </c>
      <c r="J68" t="s">
        <v>18</v>
      </c>
      <c r="K68" t="s">
        <v>199</v>
      </c>
      <c r="L68" t="s">
        <v>204</v>
      </c>
    </row>
    <row hidden="1" r="69" s="1" spans="1:12">
      <c r="A69" s="4" t="n">
        <v>43121</v>
      </c>
      <c r="B69" t="s">
        <v>196</v>
      </c>
      <c r="C69" t="s">
        <v>197</v>
      </c>
      <c r="D69" t="s">
        <v>22</v>
      </c>
      <c r="E69" t="s">
        <v>15</v>
      </c>
      <c r="F69" t="s">
        <v>28</v>
      </c>
      <c r="G69" t="s">
        <v>205</v>
      </c>
      <c r="I69" t="s">
        <v>17</v>
      </c>
      <c r="J69" t="s">
        <v>18</v>
      </c>
      <c r="K69" t="s">
        <v>199</v>
      </c>
      <c r="L69" t="s">
        <v>206</v>
      </c>
    </row>
    <row hidden="1" r="70" s="1" spans="1:12">
      <c r="A70" s="4" t="n">
        <v>43121</v>
      </c>
      <c r="B70" t="s">
        <v>207</v>
      </c>
      <c r="C70" t="s">
        <v>38</v>
      </c>
      <c r="D70" t="s">
        <v>22</v>
      </c>
      <c r="E70" t="s">
        <v>15</v>
      </c>
      <c r="F70" t="s">
        <v>16</v>
      </c>
      <c r="G70" t="s">
        <v>207</v>
      </c>
      <c r="I70" t="s">
        <v>17</v>
      </c>
      <c r="J70" t="s">
        <v>18</v>
      </c>
      <c r="K70" t="s">
        <v>208</v>
      </c>
      <c r="L70" t="s">
        <v>209</v>
      </c>
    </row>
    <row hidden="1" r="71" s="1" spans="1:12">
      <c r="A71" s="4" t="n">
        <v>43121</v>
      </c>
      <c r="B71" t="s">
        <v>210</v>
      </c>
      <c r="C71" t="s">
        <v>62</v>
      </c>
      <c r="D71" t="s">
        <v>22</v>
      </c>
      <c r="E71" t="s">
        <v>15</v>
      </c>
      <c r="F71" t="s">
        <v>16</v>
      </c>
      <c r="G71" t="s">
        <v>210</v>
      </c>
      <c r="I71" t="s">
        <v>17</v>
      </c>
      <c r="J71" t="s">
        <v>18</v>
      </c>
      <c r="K71" t="s">
        <v>211</v>
      </c>
      <c r="L71" t="s">
        <v>212</v>
      </c>
    </row>
    <row hidden="1" r="72" s="1" spans="1:12">
      <c r="A72" s="4" t="n">
        <v>43121</v>
      </c>
      <c r="B72" t="s">
        <v>213</v>
      </c>
      <c r="C72" t="s">
        <v>80</v>
      </c>
      <c r="D72" t="s">
        <v>22</v>
      </c>
      <c r="E72" t="s">
        <v>15</v>
      </c>
      <c r="F72" t="s">
        <v>16</v>
      </c>
      <c r="G72" t="s">
        <v>213</v>
      </c>
      <c r="I72" t="s">
        <v>17</v>
      </c>
      <c r="J72" t="s">
        <v>18</v>
      </c>
      <c r="K72" t="s">
        <v>214</v>
      </c>
      <c r="L72" t="s">
        <v>215</v>
      </c>
    </row>
    <row hidden="1" r="73" s="1" spans="1:12">
      <c r="A73" s="4" t="n">
        <v>43121</v>
      </c>
      <c r="B73" t="s">
        <v>213</v>
      </c>
      <c r="C73" t="s">
        <v>80</v>
      </c>
      <c r="D73" t="s">
        <v>22</v>
      </c>
      <c r="E73" t="s">
        <v>15</v>
      </c>
      <c r="F73" t="s">
        <v>16</v>
      </c>
      <c r="G73" t="s">
        <v>213</v>
      </c>
      <c r="I73" t="s">
        <v>17</v>
      </c>
      <c r="J73" t="s">
        <v>18</v>
      </c>
      <c r="K73" t="s">
        <v>216</v>
      </c>
      <c r="L73" t="s">
        <v>217</v>
      </c>
    </row>
    <row hidden="1" r="74" s="1" spans="1:12">
      <c r="A74" s="4" t="n">
        <v>43121</v>
      </c>
      <c r="B74" t="s">
        <v>218</v>
      </c>
      <c r="C74" t="s">
        <v>219</v>
      </c>
      <c r="D74" t="s">
        <v>22</v>
      </c>
      <c r="E74" t="s">
        <v>15</v>
      </c>
      <c r="F74" t="s">
        <v>52</v>
      </c>
      <c r="G74" t="s">
        <v>220</v>
      </c>
      <c r="I74" t="s">
        <v>17</v>
      </c>
      <c r="J74" t="s">
        <v>18</v>
      </c>
      <c r="K74" t="s">
        <v>221</v>
      </c>
      <c r="L74" t="s">
        <v>222</v>
      </c>
    </row>
    <row hidden="1" r="75" s="1" spans="1:12">
      <c r="A75" s="4" t="n">
        <v>43121</v>
      </c>
      <c r="B75" t="s">
        <v>223</v>
      </c>
      <c r="C75" t="s">
        <v>80</v>
      </c>
      <c r="D75" t="s">
        <v>22</v>
      </c>
      <c r="E75" t="s">
        <v>15</v>
      </c>
      <c r="F75" t="s">
        <v>16</v>
      </c>
      <c r="G75" t="s">
        <v>224</v>
      </c>
      <c r="I75" t="s">
        <v>17</v>
      </c>
      <c r="J75" t="s">
        <v>18</v>
      </c>
      <c r="K75" t="s">
        <v>225</v>
      </c>
      <c r="L75" t="s">
        <v>226</v>
      </c>
    </row>
    <row hidden="1" r="76" s="1" spans="1:12">
      <c r="A76" s="4" t="n">
        <v>43121</v>
      </c>
      <c r="B76" t="s">
        <v>227</v>
      </c>
      <c r="C76" t="s">
        <v>76</v>
      </c>
      <c r="D76" t="s">
        <v>22</v>
      </c>
      <c r="E76" t="s">
        <v>15</v>
      </c>
      <c r="F76" t="s">
        <v>16</v>
      </c>
      <c r="G76" t="s">
        <v>227</v>
      </c>
      <c r="I76" t="s">
        <v>17</v>
      </c>
      <c r="J76" t="s">
        <v>18</v>
      </c>
      <c r="K76" t="s">
        <v>228</v>
      </c>
      <c r="L76" t="s">
        <v>229</v>
      </c>
    </row>
    <row hidden="1" r="77" s="1" spans="1:12">
      <c r="A77" s="4" t="n">
        <v>43121</v>
      </c>
      <c r="B77" t="s">
        <v>230</v>
      </c>
      <c r="C77" t="s">
        <v>93</v>
      </c>
      <c r="D77" t="s">
        <v>22</v>
      </c>
      <c r="E77" t="s">
        <v>15</v>
      </c>
      <c r="F77" t="s">
        <v>16</v>
      </c>
      <c r="G77" t="s">
        <v>231</v>
      </c>
      <c r="I77" t="s">
        <v>17</v>
      </c>
      <c r="J77" t="s">
        <v>18</v>
      </c>
      <c r="K77" t="s">
        <v>232</v>
      </c>
      <c r="L77" t="s">
        <v>233</v>
      </c>
    </row>
    <row hidden="1" r="78" s="1" spans="1:12">
      <c r="A78" s="4" t="n">
        <v>43121</v>
      </c>
      <c r="B78" t="s">
        <v>230</v>
      </c>
      <c r="C78" t="s">
        <v>93</v>
      </c>
      <c r="D78" t="s">
        <v>22</v>
      </c>
      <c r="E78" t="s">
        <v>15</v>
      </c>
      <c r="F78" t="s">
        <v>16</v>
      </c>
      <c r="G78" t="s">
        <v>234</v>
      </c>
      <c r="I78" t="s">
        <v>17</v>
      </c>
      <c r="J78" t="s">
        <v>18</v>
      </c>
      <c r="K78" t="s">
        <v>235</v>
      </c>
      <c r="L78" t="s">
        <v>236</v>
      </c>
    </row>
    <row hidden="1" r="79" s="1" spans="1:12">
      <c r="A79" s="4" t="n">
        <v>43121</v>
      </c>
      <c r="B79" t="s">
        <v>237</v>
      </c>
      <c r="C79" t="s">
        <v>62</v>
      </c>
      <c r="D79" t="s">
        <v>22</v>
      </c>
      <c r="E79" t="s">
        <v>15</v>
      </c>
      <c r="F79" t="s">
        <v>28</v>
      </c>
      <c r="G79" t="s">
        <v>238</v>
      </c>
      <c r="I79" t="s">
        <v>17</v>
      </c>
      <c r="J79" t="s">
        <v>18</v>
      </c>
      <c r="K79" t="s">
        <v>239</v>
      </c>
      <c r="L79" t="s">
        <v>240</v>
      </c>
    </row>
    <row hidden="1" r="80" s="1" spans="1:12">
      <c r="A80" s="4" t="n">
        <v>43121</v>
      </c>
      <c r="B80" t="s">
        <v>237</v>
      </c>
      <c r="C80" t="s">
        <v>62</v>
      </c>
      <c r="D80" t="s">
        <v>22</v>
      </c>
      <c r="E80" t="s">
        <v>15</v>
      </c>
      <c r="F80" t="s">
        <v>52</v>
      </c>
      <c r="G80" t="s">
        <v>241</v>
      </c>
      <c r="I80" t="s">
        <v>17</v>
      </c>
      <c r="J80" t="s">
        <v>18</v>
      </c>
      <c r="K80" t="s">
        <v>242</v>
      </c>
      <c r="L80" t="s">
        <v>243</v>
      </c>
    </row>
    <row hidden="1" r="81" s="1" spans="1:12">
      <c r="A81" s="4" t="n">
        <v>43121</v>
      </c>
      <c r="B81" t="s">
        <v>244</v>
      </c>
      <c r="C81" t="s">
        <v>45</v>
      </c>
      <c r="D81" t="s">
        <v>245</v>
      </c>
      <c r="E81" t="s">
        <v>15</v>
      </c>
      <c r="F81" t="s">
        <v>28</v>
      </c>
      <c r="G81" t="s">
        <v>246</v>
      </c>
      <c r="I81" t="s">
        <v>17</v>
      </c>
      <c r="J81" t="s">
        <v>18</v>
      </c>
      <c r="K81" t="s">
        <v>247</v>
      </c>
      <c r="L81" t="s">
        <v>248</v>
      </c>
    </row>
    <row hidden="1" r="82" s="1" spans="1:12">
      <c r="A82" s="4" t="n">
        <v>43121</v>
      </c>
      <c r="B82" t="s">
        <v>244</v>
      </c>
      <c r="C82" t="s">
        <v>45</v>
      </c>
      <c r="D82" t="s">
        <v>14</v>
      </c>
      <c r="E82" t="s">
        <v>15</v>
      </c>
      <c r="F82" t="s">
        <v>28</v>
      </c>
      <c r="G82" t="s">
        <v>249</v>
      </c>
      <c r="I82" t="s">
        <v>17</v>
      </c>
      <c r="J82" t="s">
        <v>18</v>
      </c>
      <c r="K82" t="s">
        <v>247</v>
      </c>
      <c r="L82" t="s">
        <v>250</v>
      </c>
    </row>
    <row hidden="1" r="83" s="1" spans="1:12">
      <c r="A83" s="4" t="n">
        <v>43121</v>
      </c>
      <c r="B83" t="s">
        <v>251</v>
      </c>
      <c r="C83" t="s">
        <v>80</v>
      </c>
      <c r="D83" t="s">
        <v>14</v>
      </c>
      <c r="E83" t="s">
        <v>15</v>
      </c>
      <c r="F83" t="s">
        <v>16</v>
      </c>
      <c r="G83" t="s">
        <v>252</v>
      </c>
      <c r="I83" t="s">
        <v>17</v>
      </c>
      <c r="J83" t="s">
        <v>18</v>
      </c>
      <c r="K83" t="s">
        <v>253</v>
      </c>
      <c r="L83" t="s">
        <v>254</v>
      </c>
    </row>
    <row hidden="1" r="84" s="1" spans="1:12">
      <c r="A84" s="4" t="n">
        <v>43121</v>
      </c>
      <c r="B84" t="s">
        <v>251</v>
      </c>
      <c r="C84" t="s">
        <v>80</v>
      </c>
      <c r="D84" t="s">
        <v>14</v>
      </c>
      <c r="E84" t="s">
        <v>15</v>
      </c>
      <c r="F84" t="s">
        <v>28</v>
      </c>
      <c r="G84" t="s">
        <v>255</v>
      </c>
      <c r="I84" t="s">
        <v>17</v>
      </c>
      <c r="J84" t="s">
        <v>18</v>
      </c>
      <c r="K84" t="s">
        <v>253</v>
      </c>
      <c r="L84" t="s">
        <v>256</v>
      </c>
    </row>
    <row hidden="1" r="85" s="1" spans="1:12">
      <c r="A85" s="4" t="n">
        <v>43121</v>
      </c>
      <c r="B85" t="s">
        <v>257</v>
      </c>
      <c r="C85" t="s">
        <v>13</v>
      </c>
      <c r="D85" t="s">
        <v>14</v>
      </c>
      <c r="E85" t="s">
        <v>15</v>
      </c>
      <c r="F85" t="s">
        <v>16</v>
      </c>
      <c r="G85" t="s">
        <v>258</v>
      </c>
      <c r="I85" t="s">
        <v>17</v>
      </c>
      <c r="J85" t="s">
        <v>18</v>
      </c>
      <c r="K85" t="s">
        <v>259</v>
      </c>
      <c r="L85" t="s">
        <v>260</v>
      </c>
    </row>
    <row hidden="1" r="86" s="1" spans="1:12">
      <c r="A86" s="4" t="n">
        <v>43121</v>
      </c>
      <c r="B86" t="s">
        <v>257</v>
      </c>
      <c r="C86" t="s">
        <v>13</v>
      </c>
      <c r="D86" t="s">
        <v>14</v>
      </c>
      <c r="E86" t="s">
        <v>15</v>
      </c>
      <c r="F86" t="s">
        <v>16</v>
      </c>
      <c r="G86" t="s">
        <v>258</v>
      </c>
      <c r="I86" t="s">
        <v>17</v>
      </c>
      <c r="J86" t="s">
        <v>18</v>
      </c>
      <c r="K86" t="s">
        <v>259</v>
      </c>
      <c r="L86" t="s">
        <v>260</v>
      </c>
    </row>
    <row hidden="1" r="87" s="1" spans="1:12">
      <c r="A87" s="4" t="n">
        <v>43121</v>
      </c>
      <c r="B87" t="s">
        <v>257</v>
      </c>
      <c r="C87" t="s">
        <v>13</v>
      </c>
      <c r="D87" t="s">
        <v>14</v>
      </c>
      <c r="E87" t="s">
        <v>15</v>
      </c>
      <c r="F87" t="s">
        <v>52</v>
      </c>
      <c r="G87" t="s">
        <v>261</v>
      </c>
      <c r="I87" t="s">
        <v>17</v>
      </c>
      <c r="J87" t="s">
        <v>18</v>
      </c>
      <c r="K87" t="s">
        <v>262</v>
      </c>
      <c r="L87" t="s">
        <v>263</v>
      </c>
    </row>
    <row hidden="1" r="88" s="1" spans="1:12">
      <c r="A88" s="4" t="n">
        <v>43121</v>
      </c>
      <c r="B88" t="s">
        <v>257</v>
      </c>
      <c r="C88" t="s">
        <v>13</v>
      </c>
      <c r="D88" t="s">
        <v>14</v>
      </c>
      <c r="E88" t="s">
        <v>15</v>
      </c>
      <c r="F88" t="s">
        <v>52</v>
      </c>
      <c r="G88" t="s">
        <v>264</v>
      </c>
      <c r="I88" t="s">
        <v>17</v>
      </c>
      <c r="J88" t="s">
        <v>18</v>
      </c>
      <c r="K88" t="s">
        <v>259</v>
      </c>
      <c r="L88" t="s">
        <v>265</v>
      </c>
    </row>
    <row hidden="1" r="89" s="1" spans="1:12">
      <c r="A89" s="4" t="n">
        <v>43121</v>
      </c>
      <c r="B89" t="s">
        <v>257</v>
      </c>
      <c r="C89" t="s">
        <v>13</v>
      </c>
      <c r="D89" t="s">
        <v>14</v>
      </c>
      <c r="E89" t="s">
        <v>15</v>
      </c>
      <c r="F89" t="s">
        <v>52</v>
      </c>
      <c r="G89" t="s">
        <v>266</v>
      </c>
      <c r="I89" t="s">
        <v>17</v>
      </c>
      <c r="J89" t="s">
        <v>18</v>
      </c>
      <c r="K89" t="s">
        <v>259</v>
      </c>
      <c r="L89" t="s">
        <v>267</v>
      </c>
    </row>
    <row hidden="1" r="90" s="1" spans="1:12">
      <c r="A90" s="4" t="n">
        <v>43121</v>
      </c>
      <c r="B90" t="s">
        <v>268</v>
      </c>
      <c r="C90" t="s">
        <v>269</v>
      </c>
      <c r="D90" t="s">
        <v>14</v>
      </c>
      <c r="E90" t="s">
        <v>15</v>
      </c>
      <c r="F90" t="s">
        <v>28</v>
      </c>
      <c r="G90" t="s">
        <v>270</v>
      </c>
      <c r="I90" t="s">
        <v>17</v>
      </c>
      <c r="J90" t="s">
        <v>18</v>
      </c>
      <c r="K90" t="s">
        <v>271</v>
      </c>
      <c r="L90" t="s">
        <v>272</v>
      </c>
    </row>
    <row hidden="1" r="91" s="1" spans="1:12">
      <c r="A91" s="4" t="n">
        <v>43121</v>
      </c>
      <c r="B91" t="s">
        <v>268</v>
      </c>
      <c r="C91" t="s">
        <v>269</v>
      </c>
      <c r="D91" t="s">
        <v>14</v>
      </c>
      <c r="E91" t="s">
        <v>15</v>
      </c>
      <c r="F91" t="s">
        <v>28</v>
      </c>
      <c r="G91" t="s">
        <v>270</v>
      </c>
      <c r="I91" t="s">
        <v>17</v>
      </c>
      <c r="J91" t="s">
        <v>18</v>
      </c>
      <c r="K91" t="s">
        <v>271</v>
      </c>
      <c r="L91" t="s">
        <v>272</v>
      </c>
    </row>
    <row hidden="1" r="92" s="1" spans="1:12">
      <c r="A92" s="4" t="n">
        <v>43121</v>
      </c>
      <c r="B92" t="s">
        <v>273</v>
      </c>
      <c r="C92" t="s">
        <v>274</v>
      </c>
      <c r="D92" t="s">
        <v>14</v>
      </c>
      <c r="E92" t="s">
        <v>15</v>
      </c>
      <c r="F92" t="s">
        <v>28</v>
      </c>
      <c r="G92" t="s">
        <v>275</v>
      </c>
      <c r="I92" t="s">
        <v>17</v>
      </c>
      <c r="J92" t="s">
        <v>18</v>
      </c>
      <c r="K92" t="s">
        <v>276</v>
      </c>
      <c r="L92" t="s">
        <v>277</v>
      </c>
    </row>
    <row hidden="1" r="93" s="1" spans="1:12">
      <c r="A93" s="4" t="n">
        <v>43121</v>
      </c>
      <c r="B93" t="s">
        <v>278</v>
      </c>
      <c r="C93" t="s">
        <v>279</v>
      </c>
      <c r="D93" t="s">
        <v>14</v>
      </c>
      <c r="E93" t="s">
        <v>15</v>
      </c>
      <c r="F93" t="s">
        <v>16</v>
      </c>
      <c r="G93" t="s">
        <v>280</v>
      </c>
      <c r="I93" t="s">
        <v>17</v>
      </c>
      <c r="J93" t="s">
        <v>18</v>
      </c>
      <c r="K93" t="s">
        <v>281</v>
      </c>
      <c r="L93" t="s">
        <v>282</v>
      </c>
    </row>
    <row hidden="1" r="94" s="1" spans="1:12">
      <c r="A94" s="4" t="n">
        <v>43121</v>
      </c>
      <c r="B94" t="s">
        <v>283</v>
      </c>
      <c r="C94" t="s">
        <v>284</v>
      </c>
      <c r="D94" t="s">
        <v>14</v>
      </c>
      <c r="E94" t="s">
        <v>15</v>
      </c>
      <c r="F94" t="s">
        <v>16</v>
      </c>
      <c r="G94" t="s">
        <v>283</v>
      </c>
      <c r="I94" t="s">
        <v>17</v>
      </c>
      <c r="J94" t="s">
        <v>18</v>
      </c>
      <c r="K94" t="s">
        <v>285</v>
      </c>
      <c r="L94" t="s">
        <v>286</v>
      </c>
    </row>
    <row hidden="1" r="95" s="1" spans="1:12">
      <c r="A95" s="4" t="n">
        <v>43121</v>
      </c>
      <c r="B95" t="s">
        <v>287</v>
      </c>
      <c r="C95" t="s">
        <v>279</v>
      </c>
      <c r="D95" t="s">
        <v>14</v>
      </c>
      <c r="E95" t="s">
        <v>15</v>
      </c>
      <c r="F95" t="s">
        <v>16</v>
      </c>
      <c r="G95" t="s">
        <v>288</v>
      </c>
      <c r="I95" t="s">
        <v>17</v>
      </c>
      <c r="J95" t="s">
        <v>18</v>
      </c>
      <c r="K95" t="s">
        <v>289</v>
      </c>
      <c r="L95" t="s">
        <v>290</v>
      </c>
    </row>
    <row hidden="1" r="96" s="1" spans="1:12">
      <c r="A96" s="4" t="n">
        <v>43121</v>
      </c>
      <c r="B96" t="s">
        <v>287</v>
      </c>
      <c r="C96" t="s">
        <v>279</v>
      </c>
      <c r="D96" t="s">
        <v>14</v>
      </c>
      <c r="E96" t="s">
        <v>15</v>
      </c>
      <c r="F96" t="s">
        <v>16</v>
      </c>
      <c r="G96" t="s">
        <v>291</v>
      </c>
      <c r="I96" t="s">
        <v>17</v>
      </c>
      <c r="J96" t="s">
        <v>18</v>
      </c>
      <c r="K96" t="s">
        <v>289</v>
      </c>
      <c r="L96" t="s">
        <v>292</v>
      </c>
    </row>
    <row hidden="1" r="97" s="1" spans="1:12">
      <c r="A97" s="4" t="n">
        <v>43121</v>
      </c>
      <c r="B97" t="s">
        <v>293</v>
      </c>
      <c r="C97" t="s">
        <v>294</v>
      </c>
      <c r="D97" t="s">
        <v>14</v>
      </c>
      <c r="E97" t="s">
        <v>15</v>
      </c>
      <c r="F97" t="s">
        <v>28</v>
      </c>
      <c r="G97" t="s">
        <v>295</v>
      </c>
      <c r="I97" t="s">
        <v>17</v>
      </c>
      <c r="J97" t="s">
        <v>18</v>
      </c>
      <c r="K97" t="s">
        <v>296</v>
      </c>
      <c r="L97" t="s">
        <v>297</v>
      </c>
    </row>
    <row hidden="1" r="98" s="1" spans="1:12">
      <c r="A98" s="4" t="n">
        <v>43121</v>
      </c>
      <c r="B98" t="s">
        <v>293</v>
      </c>
      <c r="C98" t="s">
        <v>294</v>
      </c>
      <c r="D98" t="s">
        <v>14</v>
      </c>
      <c r="E98" t="s">
        <v>15</v>
      </c>
      <c r="F98" t="s">
        <v>34</v>
      </c>
      <c r="G98" t="s">
        <v>298</v>
      </c>
      <c r="I98" t="s">
        <v>17</v>
      </c>
      <c r="J98" t="s">
        <v>18</v>
      </c>
      <c r="K98" t="s">
        <v>299</v>
      </c>
      <c r="L98" t="s">
        <v>300</v>
      </c>
    </row>
    <row hidden="1" r="99" s="1" spans="1:12">
      <c r="A99" s="4" t="n">
        <v>43121</v>
      </c>
      <c r="B99" t="s">
        <v>293</v>
      </c>
      <c r="C99" t="s">
        <v>294</v>
      </c>
      <c r="D99" t="s">
        <v>14</v>
      </c>
      <c r="E99" t="s">
        <v>15</v>
      </c>
      <c r="F99" t="s">
        <v>52</v>
      </c>
      <c r="G99" t="s">
        <v>301</v>
      </c>
      <c r="I99" t="s">
        <v>17</v>
      </c>
      <c r="J99" t="s">
        <v>18</v>
      </c>
      <c r="K99" t="s">
        <v>302</v>
      </c>
      <c r="L99" t="s">
        <v>303</v>
      </c>
    </row>
    <row hidden="1" r="100" s="1" spans="1:12">
      <c r="A100" s="4" t="n">
        <v>43121</v>
      </c>
      <c r="B100" t="s">
        <v>304</v>
      </c>
      <c r="C100" t="s">
        <v>305</v>
      </c>
      <c r="D100" t="s">
        <v>14</v>
      </c>
      <c r="E100" t="s">
        <v>15</v>
      </c>
      <c r="F100" t="s">
        <v>16</v>
      </c>
      <c r="G100" t="s">
        <v>304</v>
      </c>
      <c r="I100" t="s">
        <v>17</v>
      </c>
      <c r="J100" t="s">
        <v>18</v>
      </c>
      <c r="K100" t="s">
        <v>306</v>
      </c>
      <c r="L100" t="s">
        <v>307</v>
      </c>
    </row>
    <row hidden="1" r="101" s="1" spans="1:12">
      <c r="A101" s="4" t="n">
        <v>43121</v>
      </c>
      <c r="B101" t="s">
        <v>308</v>
      </c>
      <c r="C101" t="s">
        <v>309</v>
      </c>
      <c r="D101" t="s">
        <v>14</v>
      </c>
      <c r="E101" t="s">
        <v>15</v>
      </c>
      <c r="F101" t="s">
        <v>16</v>
      </c>
      <c r="G101" t="s">
        <v>310</v>
      </c>
      <c r="I101" t="s">
        <v>17</v>
      </c>
      <c r="J101" t="s">
        <v>18</v>
      </c>
      <c r="K101" t="s">
        <v>311</v>
      </c>
      <c r="L101" t="s">
        <v>312</v>
      </c>
    </row>
    <row hidden="1" r="102" s="1" spans="1:12">
      <c r="A102" s="4" t="n">
        <v>43121</v>
      </c>
      <c r="B102" t="s">
        <v>313</v>
      </c>
      <c r="C102" t="s">
        <v>62</v>
      </c>
      <c r="D102" t="s">
        <v>14</v>
      </c>
      <c r="E102" t="s">
        <v>15</v>
      </c>
      <c r="F102" t="s">
        <v>28</v>
      </c>
      <c r="G102" t="s">
        <v>314</v>
      </c>
      <c r="I102" t="s">
        <v>17</v>
      </c>
      <c r="J102" t="s">
        <v>18</v>
      </c>
      <c r="K102" t="s">
        <v>315</v>
      </c>
      <c r="L102" t="s">
        <v>316</v>
      </c>
    </row>
    <row hidden="1" r="103" s="1" spans="1:12">
      <c r="A103" s="4" t="n">
        <v>43121</v>
      </c>
      <c r="B103" t="s">
        <v>317</v>
      </c>
      <c r="C103" t="s">
        <v>45</v>
      </c>
      <c r="D103" t="s">
        <v>14</v>
      </c>
      <c r="E103" t="s">
        <v>15</v>
      </c>
      <c r="F103" t="s">
        <v>52</v>
      </c>
      <c r="G103" t="s">
        <v>318</v>
      </c>
      <c r="I103" t="s">
        <v>17</v>
      </c>
      <c r="J103" t="s">
        <v>18</v>
      </c>
      <c r="K103" t="s">
        <v>319</v>
      </c>
      <c r="L103" t="s">
        <v>320</v>
      </c>
    </row>
    <row hidden="1" r="104" s="1" spans="1:12">
      <c r="A104" s="4" t="n">
        <v>43121</v>
      </c>
      <c r="B104" t="s">
        <v>317</v>
      </c>
      <c r="C104" t="s">
        <v>45</v>
      </c>
      <c r="D104" t="s">
        <v>14</v>
      </c>
      <c r="E104" t="s">
        <v>15</v>
      </c>
      <c r="F104" t="s">
        <v>28</v>
      </c>
      <c r="G104" t="s">
        <v>321</v>
      </c>
      <c r="I104" t="s">
        <v>17</v>
      </c>
      <c r="J104" t="s">
        <v>18</v>
      </c>
      <c r="K104" t="s">
        <v>319</v>
      </c>
      <c r="L104" t="s">
        <v>322</v>
      </c>
    </row>
    <row hidden="1" r="105" s="1" spans="1:12">
      <c r="A105" s="4" t="n">
        <v>43121</v>
      </c>
      <c r="B105" t="s">
        <v>323</v>
      </c>
      <c r="C105" t="s">
        <v>62</v>
      </c>
      <c r="D105" t="s">
        <v>14</v>
      </c>
      <c r="E105" t="s">
        <v>15</v>
      </c>
      <c r="F105" t="s">
        <v>34</v>
      </c>
      <c r="G105" t="s">
        <v>324</v>
      </c>
      <c r="I105" t="s">
        <v>17</v>
      </c>
      <c r="J105" t="s">
        <v>18</v>
      </c>
      <c r="K105" t="s">
        <v>325</v>
      </c>
      <c r="L105" t="s">
        <v>326</v>
      </c>
    </row>
    <row hidden="1" r="106" s="1" spans="1:12">
      <c r="A106" s="4" t="n">
        <v>43121</v>
      </c>
      <c r="B106" t="s">
        <v>323</v>
      </c>
      <c r="C106" t="s">
        <v>62</v>
      </c>
      <c r="D106" t="s">
        <v>14</v>
      </c>
      <c r="E106" t="s">
        <v>15</v>
      </c>
      <c r="F106" t="s">
        <v>52</v>
      </c>
      <c r="G106" t="s">
        <v>327</v>
      </c>
      <c r="I106" t="s">
        <v>17</v>
      </c>
      <c r="J106" t="s">
        <v>18</v>
      </c>
      <c r="K106" t="s">
        <v>325</v>
      </c>
      <c r="L106" t="s">
        <v>328</v>
      </c>
    </row>
    <row r="107" spans="1:12">
      <c r="A107" s="4" t="n">
        <v>43121</v>
      </c>
      <c r="B107" t="s">
        <v>329</v>
      </c>
      <c r="C107" t="s">
        <v>80</v>
      </c>
      <c r="D107" t="s">
        <v>14</v>
      </c>
      <c r="E107" t="s">
        <v>51</v>
      </c>
      <c r="F107" t="s">
        <v>16</v>
      </c>
      <c r="G107" t="s">
        <v>329</v>
      </c>
      <c r="I107" t="s">
        <v>17</v>
      </c>
      <c r="J107" t="s">
        <v>18</v>
      </c>
      <c r="K107" t="s">
        <v>330</v>
      </c>
      <c r="L107" t="s">
        <v>331</v>
      </c>
    </row>
    <row hidden="1" r="108" s="1" spans="1:12">
      <c r="A108" s="4" t="n">
        <v>43121</v>
      </c>
      <c r="B108" t="s">
        <v>332</v>
      </c>
      <c r="C108" t="s">
        <v>333</v>
      </c>
      <c r="D108" t="s">
        <v>14</v>
      </c>
      <c r="E108" t="s">
        <v>15</v>
      </c>
      <c r="F108" t="s">
        <v>16</v>
      </c>
      <c r="G108" t="s">
        <v>334</v>
      </c>
      <c r="I108" t="s">
        <v>17</v>
      </c>
      <c r="J108" t="s">
        <v>18</v>
      </c>
      <c r="K108" t="s">
        <v>335</v>
      </c>
      <c r="L108" t="s">
        <v>336</v>
      </c>
    </row>
    <row hidden="1" r="109" s="1" spans="1:12">
      <c r="A109" s="4" t="n">
        <v>43121</v>
      </c>
      <c r="B109" t="s">
        <v>332</v>
      </c>
      <c r="C109" t="s">
        <v>333</v>
      </c>
      <c r="D109" t="s">
        <v>14</v>
      </c>
      <c r="E109" t="s">
        <v>15</v>
      </c>
      <c r="F109" t="s">
        <v>16</v>
      </c>
      <c r="G109" t="s">
        <v>334</v>
      </c>
      <c r="I109" t="s">
        <v>17</v>
      </c>
      <c r="J109" t="s">
        <v>18</v>
      </c>
      <c r="K109" t="s">
        <v>335</v>
      </c>
      <c r="L109" t="s">
        <v>336</v>
      </c>
    </row>
    <row hidden="1" r="110" s="1" spans="1:12">
      <c r="A110" s="4" t="n">
        <v>43121</v>
      </c>
      <c r="B110" t="s">
        <v>332</v>
      </c>
      <c r="C110" t="s">
        <v>333</v>
      </c>
      <c r="D110" t="s">
        <v>14</v>
      </c>
      <c r="E110" t="s">
        <v>15</v>
      </c>
      <c r="F110" t="s">
        <v>52</v>
      </c>
      <c r="G110" t="s">
        <v>337</v>
      </c>
      <c r="I110" t="s">
        <v>17</v>
      </c>
      <c r="J110" t="s">
        <v>18</v>
      </c>
      <c r="K110" t="s">
        <v>335</v>
      </c>
      <c r="L110" t="s">
        <v>338</v>
      </c>
    </row>
    <row hidden="1" r="111" s="1" spans="1:12">
      <c r="A111" s="4" t="n">
        <v>43121</v>
      </c>
      <c r="B111" t="s">
        <v>332</v>
      </c>
      <c r="C111" t="s">
        <v>333</v>
      </c>
      <c r="D111" t="s">
        <v>14</v>
      </c>
      <c r="E111" t="s">
        <v>15</v>
      </c>
      <c r="F111" t="s">
        <v>34</v>
      </c>
      <c r="G111" t="s">
        <v>339</v>
      </c>
      <c r="I111" t="s">
        <v>17</v>
      </c>
      <c r="J111" t="s">
        <v>18</v>
      </c>
      <c r="K111" t="s">
        <v>340</v>
      </c>
      <c r="L111" t="s">
        <v>341</v>
      </c>
    </row>
    <row hidden="1" r="112" s="1" spans="1:12">
      <c r="A112" s="4" t="n">
        <v>43121</v>
      </c>
      <c r="B112" t="s">
        <v>342</v>
      </c>
      <c r="C112" t="s">
        <v>309</v>
      </c>
      <c r="D112" t="s">
        <v>14</v>
      </c>
      <c r="E112" t="s">
        <v>15</v>
      </c>
      <c r="F112" t="s">
        <v>52</v>
      </c>
      <c r="G112" t="s">
        <v>343</v>
      </c>
      <c r="I112" t="s">
        <v>17</v>
      </c>
      <c r="J112" t="s">
        <v>18</v>
      </c>
      <c r="K112" t="s">
        <v>344</v>
      </c>
      <c r="L112" t="s">
        <v>345</v>
      </c>
    </row>
    <row hidden="1" r="113" s="1" spans="1:12">
      <c r="A113" s="4" t="n">
        <v>43121</v>
      </c>
      <c r="B113" t="s">
        <v>346</v>
      </c>
      <c r="C113" t="s">
        <v>80</v>
      </c>
      <c r="D113" t="s">
        <v>14</v>
      </c>
      <c r="E113" t="s">
        <v>15</v>
      </c>
      <c r="F113" t="s">
        <v>28</v>
      </c>
      <c r="G113" t="s">
        <v>347</v>
      </c>
      <c r="I113" t="s">
        <v>17</v>
      </c>
      <c r="J113" t="s">
        <v>18</v>
      </c>
      <c r="K113" t="s">
        <v>348</v>
      </c>
      <c r="L113" t="s">
        <v>349</v>
      </c>
    </row>
    <row hidden="1" r="114" s="1" spans="1:12">
      <c r="A114" s="4" t="n">
        <v>43121</v>
      </c>
      <c r="B114" t="s">
        <v>346</v>
      </c>
      <c r="C114" t="s">
        <v>80</v>
      </c>
      <c r="D114" t="s">
        <v>14</v>
      </c>
      <c r="E114" t="s">
        <v>15</v>
      </c>
      <c r="F114" t="s">
        <v>34</v>
      </c>
      <c r="G114" t="s">
        <v>350</v>
      </c>
      <c r="I114" t="s">
        <v>17</v>
      </c>
      <c r="J114" t="s">
        <v>18</v>
      </c>
      <c r="K114" t="s">
        <v>348</v>
      </c>
      <c r="L114" t="s">
        <v>351</v>
      </c>
    </row>
    <row hidden="1" r="115" s="1" spans="1:12">
      <c r="A115" s="4" t="n">
        <v>43121</v>
      </c>
      <c r="B115" t="s">
        <v>346</v>
      </c>
      <c r="C115" t="s">
        <v>80</v>
      </c>
      <c r="D115" t="s">
        <v>14</v>
      </c>
      <c r="E115" t="s">
        <v>15</v>
      </c>
      <c r="F115" t="s">
        <v>16</v>
      </c>
      <c r="G115" t="s">
        <v>352</v>
      </c>
      <c r="I115" t="s">
        <v>17</v>
      </c>
      <c r="J115" t="s">
        <v>18</v>
      </c>
      <c r="K115" t="s">
        <v>348</v>
      </c>
      <c r="L115" t="s">
        <v>353</v>
      </c>
    </row>
    <row hidden="1" r="116" s="1" spans="1:12">
      <c r="A116" s="4" t="n">
        <v>43121</v>
      </c>
      <c r="B116" t="s">
        <v>346</v>
      </c>
      <c r="C116" t="s">
        <v>80</v>
      </c>
      <c r="D116" t="s">
        <v>14</v>
      </c>
      <c r="E116" t="s">
        <v>15</v>
      </c>
      <c r="F116" t="s">
        <v>34</v>
      </c>
      <c r="G116" t="s">
        <v>350</v>
      </c>
      <c r="I116" t="s">
        <v>17</v>
      </c>
      <c r="J116" t="s">
        <v>18</v>
      </c>
      <c r="K116" t="s">
        <v>348</v>
      </c>
      <c r="L116" t="s">
        <v>351</v>
      </c>
    </row>
    <row hidden="1" r="117" s="1" spans="1:12">
      <c r="A117" s="4" t="n">
        <v>43121</v>
      </c>
      <c r="B117" t="s">
        <v>354</v>
      </c>
      <c r="C117" t="s">
        <v>50</v>
      </c>
      <c r="D117" t="s">
        <v>14</v>
      </c>
      <c r="E117" t="s">
        <v>15</v>
      </c>
      <c r="F117" t="s">
        <v>16</v>
      </c>
      <c r="G117" t="s">
        <v>355</v>
      </c>
      <c r="I117" t="s">
        <v>17</v>
      </c>
      <c r="J117" t="s">
        <v>18</v>
      </c>
      <c r="K117" t="s">
        <v>356</v>
      </c>
      <c r="L117" t="s">
        <v>357</v>
      </c>
    </row>
    <row hidden="1" r="118" s="1" spans="1:12">
      <c r="A118" s="4" t="n">
        <v>43121</v>
      </c>
      <c r="B118" t="s">
        <v>358</v>
      </c>
      <c r="C118" t="s">
        <v>359</v>
      </c>
      <c r="D118" t="s">
        <v>14</v>
      </c>
      <c r="E118" t="s">
        <v>15</v>
      </c>
      <c r="F118" t="s">
        <v>52</v>
      </c>
      <c r="G118" t="s">
        <v>360</v>
      </c>
      <c r="I118" t="s">
        <v>17</v>
      </c>
      <c r="J118" t="s">
        <v>18</v>
      </c>
      <c r="K118" t="s">
        <v>361</v>
      </c>
      <c r="L118" t="s">
        <v>362</v>
      </c>
    </row>
    <row hidden="1" r="119" s="1" spans="1:12">
      <c r="A119" s="4" t="n">
        <v>43121</v>
      </c>
      <c r="B119" t="s">
        <v>358</v>
      </c>
      <c r="C119" t="s">
        <v>359</v>
      </c>
      <c r="D119" t="s">
        <v>14</v>
      </c>
      <c r="E119" t="s">
        <v>15</v>
      </c>
      <c r="F119" t="s">
        <v>52</v>
      </c>
      <c r="G119" t="s">
        <v>360</v>
      </c>
      <c r="I119" t="s">
        <v>17</v>
      </c>
      <c r="J119" t="s">
        <v>18</v>
      </c>
      <c r="K119" t="s">
        <v>361</v>
      </c>
      <c r="L119" t="s">
        <v>362</v>
      </c>
    </row>
    <row hidden="1" r="120" s="1" spans="1:12">
      <c r="A120" s="4" t="n">
        <v>43121</v>
      </c>
      <c r="B120" t="s">
        <v>358</v>
      </c>
      <c r="C120" t="s">
        <v>359</v>
      </c>
      <c r="D120" t="s">
        <v>14</v>
      </c>
      <c r="E120" t="s">
        <v>15</v>
      </c>
      <c r="F120" t="s">
        <v>34</v>
      </c>
      <c r="G120" t="s">
        <v>363</v>
      </c>
      <c r="I120" t="s">
        <v>17</v>
      </c>
      <c r="J120" t="s">
        <v>18</v>
      </c>
      <c r="K120" t="s">
        <v>361</v>
      </c>
      <c r="L120" t="s">
        <v>364</v>
      </c>
    </row>
    <row hidden="1" r="121" s="1" spans="1:12">
      <c r="A121" s="4" t="n">
        <v>43121</v>
      </c>
      <c r="B121" t="s">
        <v>365</v>
      </c>
      <c r="C121" t="s">
        <v>366</v>
      </c>
      <c r="D121" t="s">
        <v>14</v>
      </c>
      <c r="E121" t="s">
        <v>15</v>
      </c>
      <c r="F121" t="s">
        <v>16</v>
      </c>
      <c r="G121" t="s">
        <v>365</v>
      </c>
      <c r="I121" t="s">
        <v>17</v>
      </c>
      <c r="J121" t="s">
        <v>18</v>
      </c>
      <c r="K121" t="s">
        <v>367</v>
      </c>
      <c r="L121" t="s">
        <v>368</v>
      </c>
    </row>
    <row hidden="1" r="122" s="1" spans="1:12">
      <c r="A122" s="4" t="n">
        <v>43121</v>
      </c>
      <c r="B122" t="s">
        <v>369</v>
      </c>
      <c r="C122" t="s">
        <v>370</v>
      </c>
      <c r="D122" t="s">
        <v>14</v>
      </c>
      <c r="E122" t="s">
        <v>15</v>
      </c>
      <c r="F122" t="s">
        <v>16</v>
      </c>
      <c r="G122" t="s">
        <v>371</v>
      </c>
      <c r="I122" t="s">
        <v>17</v>
      </c>
      <c r="J122" t="s">
        <v>18</v>
      </c>
      <c r="K122" t="s">
        <v>372</v>
      </c>
      <c r="L122" t="s">
        <v>373</v>
      </c>
    </row>
    <row hidden="1" r="123" s="1" spans="1:12">
      <c r="A123" s="4" t="n">
        <v>43121</v>
      </c>
      <c r="B123" t="s">
        <v>374</v>
      </c>
      <c r="C123" t="s">
        <v>93</v>
      </c>
      <c r="D123" t="s">
        <v>14</v>
      </c>
      <c r="E123" t="s">
        <v>15</v>
      </c>
      <c r="F123" t="s">
        <v>28</v>
      </c>
      <c r="G123" t="s">
        <v>375</v>
      </c>
      <c r="I123" t="s">
        <v>17</v>
      </c>
      <c r="J123" t="s">
        <v>18</v>
      </c>
      <c r="K123" t="s">
        <v>376</v>
      </c>
      <c r="L123" t="s">
        <v>377</v>
      </c>
    </row>
    <row hidden="1" r="124" s="1" spans="1:12">
      <c r="A124" s="4" t="n">
        <v>43121</v>
      </c>
      <c r="B124" t="s">
        <v>378</v>
      </c>
      <c r="C124" t="s">
        <v>309</v>
      </c>
      <c r="D124" t="s">
        <v>14</v>
      </c>
      <c r="E124" t="s">
        <v>15</v>
      </c>
      <c r="F124" t="s">
        <v>16</v>
      </c>
      <c r="G124" t="s">
        <v>379</v>
      </c>
      <c r="I124" t="s">
        <v>17</v>
      </c>
      <c r="J124" t="s">
        <v>18</v>
      </c>
      <c r="K124" t="s">
        <v>380</v>
      </c>
      <c r="L124" t="s">
        <v>381</v>
      </c>
    </row>
    <row r="125" spans="1:12">
      <c r="A125" s="4" t="n">
        <v>43121</v>
      </c>
      <c r="B125" t="s">
        <v>382</v>
      </c>
      <c r="C125" t="s">
        <v>274</v>
      </c>
      <c r="D125" t="s">
        <v>14</v>
      </c>
      <c r="E125" t="s">
        <v>51</v>
      </c>
      <c r="F125" t="s">
        <v>34</v>
      </c>
      <c r="G125" t="s">
        <v>383</v>
      </c>
      <c r="I125" t="s">
        <v>17</v>
      </c>
      <c r="J125" t="s">
        <v>18</v>
      </c>
      <c r="K125" t="s">
        <v>384</v>
      </c>
      <c r="L125" t="s">
        <v>385</v>
      </c>
    </row>
    <row hidden="1" r="126" s="1" spans="1:12">
      <c r="A126" s="4" t="n">
        <v>43121</v>
      </c>
      <c r="B126" t="s">
        <v>386</v>
      </c>
      <c r="C126" t="s">
        <v>387</v>
      </c>
      <c r="D126" t="s">
        <v>14</v>
      </c>
      <c r="E126" t="s">
        <v>15</v>
      </c>
      <c r="F126" t="s">
        <v>52</v>
      </c>
      <c r="G126" t="s">
        <v>388</v>
      </c>
      <c r="I126" t="s">
        <v>17</v>
      </c>
      <c r="J126" t="s">
        <v>18</v>
      </c>
      <c r="K126" t="s">
        <v>389</v>
      </c>
      <c r="L126" t="s">
        <v>390</v>
      </c>
    </row>
    <row hidden="1" r="127" s="1" spans="1:12">
      <c r="A127" s="4" t="n">
        <v>43121</v>
      </c>
      <c r="B127" t="s">
        <v>391</v>
      </c>
      <c r="C127" t="s">
        <v>392</v>
      </c>
      <c r="D127" t="s">
        <v>14</v>
      </c>
      <c r="E127" t="s">
        <v>15</v>
      </c>
      <c r="F127" t="s">
        <v>16</v>
      </c>
      <c r="G127" t="s">
        <v>393</v>
      </c>
      <c r="I127" t="s">
        <v>17</v>
      </c>
      <c r="J127" t="s">
        <v>18</v>
      </c>
      <c r="K127" t="s">
        <v>394</v>
      </c>
      <c r="L127" t="s">
        <v>395</v>
      </c>
    </row>
    <row hidden="1" r="128" s="1" spans="1:12">
      <c r="A128" s="4" t="n">
        <v>43121</v>
      </c>
      <c r="B128" t="s">
        <v>396</v>
      </c>
      <c r="C128" t="s">
        <v>397</v>
      </c>
      <c r="D128" t="s">
        <v>14</v>
      </c>
      <c r="E128" t="s">
        <v>15</v>
      </c>
      <c r="F128" t="s">
        <v>28</v>
      </c>
      <c r="G128" t="s">
        <v>398</v>
      </c>
      <c r="I128" t="s">
        <v>17</v>
      </c>
      <c r="J128" t="s">
        <v>18</v>
      </c>
      <c r="K128" t="s">
        <v>399</v>
      </c>
      <c r="L128" t="s">
        <v>400</v>
      </c>
    </row>
    <row hidden="1" r="129" s="1" spans="1:12">
      <c r="A129" s="4" t="n">
        <v>43121</v>
      </c>
      <c r="B129" t="s">
        <v>401</v>
      </c>
      <c r="C129" t="s">
        <v>402</v>
      </c>
      <c r="D129" t="s">
        <v>14</v>
      </c>
      <c r="E129" t="s">
        <v>15</v>
      </c>
      <c r="F129" t="s">
        <v>52</v>
      </c>
      <c r="G129" t="s">
        <v>301</v>
      </c>
      <c r="I129" t="s">
        <v>17</v>
      </c>
      <c r="J129" t="s">
        <v>18</v>
      </c>
      <c r="K129" t="s">
        <v>403</v>
      </c>
      <c r="L129" t="s">
        <v>404</v>
      </c>
    </row>
    <row hidden="1" r="130" s="1" spans="1:12">
      <c r="A130" s="4" t="n">
        <v>43121</v>
      </c>
      <c r="B130" t="s">
        <v>405</v>
      </c>
      <c r="C130" t="s">
        <v>406</v>
      </c>
      <c r="D130" t="s">
        <v>14</v>
      </c>
      <c r="E130" t="s">
        <v>15</v>
      </c>
      <c r="F130" t="s">
        <v>16</v>
      </c>
      <c r="G130" t="s">
        <v>405</v>
      </c>
      <c r="I130" t="s">
        <v>17</v>
      </c>
      <c r="J130" t="s">
        <v>18</v>
      </c>
      <c r="K130" t="s">
        <v>407</v>
      </c>
      <c r="L130" t="s">
        <v>408</v>
      </c>
    </row>
    <row hidden="1" r="131" s="1" spans="1:12">
      <c r="A131" s="4" t="n">
        <v>43121</v>
      </c>
      <c r="B131" t="s">
        <v>405</v>
      </c>
      <c r="C131" t="s">
        <v>406</v>
      </c>
      <c r="D131" t="s">
        <v>14</v>
      </c>
      <c r="E131" t="s">
        <v>15</v>
      </c>
      <c r="F131" t="s">
        <v>16</v>
      </c>
      <c r="G131" t="s">
        <v>405</v>
      </c>
      <c r="I131" t="s">
        <v>17</v>
      </c>
      <c r="J131" t="s">
        <v>18</v>
      </c>
      <c r="K131" t="s">
        <v>407</v>
      </c>
      <c r="L131" t="s">
        <v>408</v>
      </c>
    </row>
    <row hidden="1" r="132" s="1" spans="1:12">
      <c r="A132" s="4" t="n">
        <v>43121</v>
      </c>
      <c r="B132" t="s">
        <v>405</v>
      </c>
      <c r="C132" t="s">
        <v>406</v>
      </c>
      <c r="D132" t="s">
        <v>14</v>
      </c>
      <c r="E132" t="s">
        <v>15</v>
      </c>
      <c r="F132" t="s">
        <v>16</v>
      </c>
      <c r="G132" t="s">
        <v>409</v>
      </c>
      <c r="I132" t="s">
        <v>17</v>
      </c>
      <c r="J132" t="s">
        <v>18</v>
      </c>
      <c r="K132" t="s">
        <v>410</v>
      </c>
      <c r="L132" t="s">
        <v>411</v>
      </c>
    </row>
    <row hidden="1" r="133" s="1" spans="1:12">
      <c r="A133" s="4" t="n">
        <v>43121</v>
      </c>
      <c r="B133" t="s">
        <v>405</v>
      </c>
      <c r="C133" t="s">
        <v>412</v>
      </c>
      <c r="D133" t="s">
        <v>14</v>
      </c>
      <c r="E133" t="s">
        <v>15</v>
      </c>
      <c r="F133" t="s">
        <v>16</v>
      </c>
      <c r="G133" t="s">
        <v>405</v>
      </c>
      <c r="I133" t="s">
        <v>17</v>
      </c>
      <c r="J133" t="s">
        <v>18</v>
      </c>
      <c r="K133" t="s">
        <v>413</v>
      </c>
      <c r="L133" t="s">
        <v>414</v>
      </c>
    </row>
    <row hidden="1" r="134" s="1" spans="1:12">
      <c r="A134" s="4" t="n">
        <v>43121</v>
      </c>
      <c r="B134" t="s">
        <v>405</v>
      </c>
      <c r="C134" t="s">
        <v>412</v>
      </c>
      <c r="D134" t="s">
        <v>14</v>
      </c>
      <c r="E134" t="s">
        <v>15</v>
      </c>
      <c r="F134" t="s">
        <v>16</v>
      </c>
      <c r="G134" t="s">
        <v>405</v>
      </c>
      <c r="I134" t="s">
        <v>17</v>
      </c>
      <c r="J134" t="s">
        <v>18</v>
      </c>
      <c r="K134" t="s">
        <v>415</v>
      </c>
      <c r="L134" t="s">
        <v>416</v>
      </c>
    </row>
    <row hidden="1" r="135" s="1" spans="1:12">
      <c r="A135" s="4" t="n">
        <v>43121</v>
      </c>
      <c r="B135" t="s">
        <v>405</v>
      </c>
      <c r="C135" t="s">
        <v>412</v>
      </c>
      <c r="D135" t="s">
        <v>14</v>
      </c>
      <c r="E135" t="s">
        <v>15</v>
      </c>
      <c r="F135" t="s">
        <v>16</v>
      </c>
      <c r="G135" t="s">
        <v>405</v>
      </c>
      <c r="I135" t="s">
        <v>17</v>
      </c>
      <c r="J135" t="s">
        <v>18</v>
      </c>
      <c r="K135" t="s">
        <v>417</v>
      </c>
      <c r="L135" t="s">
        <v>418</v>
      </c>
    </row>
    <row hidden="1" r="136" s="1" spans="1:12">
      <c r="A136" s="4" t="n">
        <v>43121</v>
      </c>
      <c r="B136" t="s">
        <v>419</v>
      </c>
      <c r="C136" t="s">
        <v>333</v>
      </c>
      <c r="D136" t="s">
        <v>245</v>
      </c>
      <c r="E136" t="s">
        <v>15</v>
      </c>
      <c r="F136" t="s">
        <v>34</v>
      </c>
      <c r="G136" t="s">
        <v>420</v>
      </c>
      <c r="I136" t="s">
        <v>17</v>
      </c>
      <c r="J136" t="s">
        <v>18</v>
      </c>
      <c r="K136" t="s">
        <v>421</v>
      </c>
      <c r="L136" t="s">
        <v>422</v>
      </c>
    </row>
    <row hidden="1" r="137" s="1" spans="1:12">
      <c r="A137" s="4" t="n">
        <v>43121</v>
      </c>
      <c r="B137" t="s">
        <v>423</v>
      </c>
      <c r="C137" t="s">
        <v>406</v>
      </c>
      <c r="D137" t="s">
        <v>245</v>
      </c>
      <c r="E137" t="s">
        <v>15</v>
      </c>
      <c r="F137" t="s">
        <v>34</v>
      </c>
      <c r="G137" t="s">
        <v>424</v>
      </c>
      <c r="I137" t="s">
        <v>17</v>
      </c>
      <c r="J137" t="s">
        <v>18</v>
      </c>
      <c r="K137" t="s">
        <v>425</v>
      </c>
      <c r="L137" t="s">
        <v>426</v>
      </c>
    </row>
    <row hidden="1" r="138" s="1" spans="1:12">
      <c r="A138" s="4" t="n">
        <v>43121</v>
      </c>
      <c r="B138" t="s">
        <v>427</v>
      </c>
      <c r="C138" t="s">
        <v>428</v>
      </c>
      <c r="D138" t="s">
        <v>245</v>
      </c>
      <c r="E138" t="s">
        <v>15</v>
      </c>
      <c r="F138" t="s">
        <v>34</v>
      </c>
      <c r="G138" t="s">
        <v>429</v>
      </c>
      <c r="I138" t="s">
        <v>17</v>
      </c>
      <c r="J138" t="s">
        <v>18</v>
      </c>
      <c r="K138" t="s">
        <v>430</v>
      </c>
      <c r="L138" t="s">
        <v>431</v>
      </c>
    </row>
    <row hidden="1" r="139" s="1" spans="1:12">
      <c r="A139" s="4" t="n">
        <v>43121</v>
      </c>
      <c r="B139" t="s">
        <v>432</v>
      </c>
      <c r="C139" t="s">
        <v>433</v>
      </c>
      <c r="D139" t="s">
        <v>245</v>
      </c>
      <c r="E139" t="s">
        <v>15</v>
      </c>
      <c r="F139" t="s">
        <v>16</v>
      </c>
      <c r="G139" t="s">
        <v>434</v>
      </c>
      <c r="I139" t="s">
        <v>17</v>
      </c>
      <c r="J139" t="s">
        <v>18</v>
      </c>
      <c r="K139" t="s">
        <v>435</v>
      </c>
      <c r="L139" t="s">
        <v>436</v>
      </c>
    </row>
    <row hidden="1" r="140" s="1" spans="1:12">
      <c r="A140" s="4" t="n">
        <v>43121</v>
      </c>
      <c r="B140" t="s">
        <v>437</v>
      </c>
      <c r="C140" t="s">
        <v>438</v>
      </c>
      <c r="D140" t="s">
        <v>245</v>
      </c>
      <c r="E140" t="s">
        <v>15</v>
      </c>
      <c r="F140" t="s">
        <v>28</v>
      </c>
      <c r="G140" t="s">
        <v>439</v>
      </c>
      <c r="I140" t="s">
        <v>17</v>
      </c>
      <c r="J140" t="s">
        <v>18</v>
      </c>
      <c r="K140" t="s">
        <v>440</v>
      </c>
      <c r="L140" t="s">
        <v>441</v>
      </c>
    </row>
    <row hidden="1" r="141" s="1" spans="1:12">
      <c r="A141" s="4" t="n">
        <v>43121</v>
      </c>
      <c r="B141" t="s">
        <v>442</v>
      </c>
      <c r="C141" t="s">
        <v>13</v>
      </c>
      <c r="D141" t="s">
        <v>245</v>
      </c>
      <c r="E141" t="s">
        <v>15</v>
      </c>
      <c r="F141" t="s">
        <v>52</v>
      </c>
      <c r="G141" t="s">
        <v>443</v>
      </c>
      <c r="I141" t="s">
        <v>17</v>
      </c>
      <c r="J141" t="s">
        <v>18</v>
      </c>
      <c r="K141" t="s">
        <v>444</v>
      </c>
      <c r="L141" t="s">
        <v>445</v>
      </c>
    </row>
    <row hidden="1" r="142" s="1" spans="1:12">
      <c r="A142" s="4" t="n">
        <v>43121</v>
      </c>
      <c r="B142" t="s">
        <v>446</v>
      </c>
      <c r="C142" t="s">
        <v>447</v>
      </c>
      <c r="D142" t="s">
        <v>245</v>
      </c>
      <c r="E142" t="s">
        <v>15</v>
      </c>
      <c r="F142" t="s">
        <v>16</v>
      </c>
      <c r="G142" t="s">
        <v>446</v>
      </c>
      <c r="I142" t="s">
        <v>17</v>
      </c>
      <c r="J142" t="s">
        <v>18</v>
      </c>
      <c r="K142" t="s">
        <v>448</v>
      </c>
      <c r="L142" t="s">
        <v>449</v>
      </c>
    </row>
    <row hidden="1" r="143" s="1" spans="1:12">
      <c r="A143" s="4" t="n">
        <v>43121</v>
      </c>
      <c r="B143" t="s">
        <v>450</v>
      </c>
      <c r="C143" t="s">
        <v>451</v>
      </c>
      <c r="D143" t="s">
        <v>245</v>
      </c>
      <c r="E143" t="s">
        <v>15</v>
      </c>
      <c r="F143" t="s">
        <v>28</v>
      </c>
      <c r="G143" t="s">
        <v>452</v>
      </c>
      <c r="I143" t="s">
        <v>17</v>
      </c>
      <c r="J143" t="s">
        <v>18</v>
      </c>
      <c r="K143" t="s">
        <v>453</v>
      </c>
      <c r="L143" t="s">
        <v>454</v>
      </c>
    </row>
    <row hidden="1" r="144" s="1" spans="1:12">
      <c r="A144" s="4" t="n">
        <v>43121</v>
      </c>
      <c r="B144" t="s">
        <v>455</v>
      </c>
      <c r="C144" t="s">
        <v>456</v>
      </c>
      <c r="D144" t="s">
        <v>245</v>
      </c>
      <c r="E144" t="s">
        <v>15</v>
      </c>
      <c r="F144" t="s">
        <v>28</v>
      </c>
      <c r="G144" t="s">
        <v>457</v>
      </c>
      <c r="I144" t="s">
        <v>17</v>
      </c>
      <c r="J144" t="s">
        <v>18</v>
      </c>
      <c r="K144" t="s">
        <v>458</v>
      </c>
      <c r="L144" t="s">
        <v>459</v>
      </c>
    </row>
    <row hidden="1" r="145" s="1" spans="1:12">
      <c r="A145" s="4" t="n">
        <v>43121</v>
      </c>
      <c r="B145" t="s">
        <v>455</v>
      </c>
      <c r="C145" t="s">
        <v>456</v>
      </c>
      <c r="D145" t="s">
        <v>245</v>
      </c>
      <c r="E145" t="s">
        <v>15</v>
      </c>
      <c r="F145" t="s">
        <v>28</v>
      </c>
      <c r="G145" t="s">
        <v>457</v>
      </c>
      <c r="I145" t="s">
        <v>17</v>
      </c>
      <c r="J145" t="s">
        <v>18</v>
      </c>
      <c r="K145" t="s">
        <v>458</v>
      </c>
      <c r="L145" t="s">
        <v>459</v>
      </c>
    </row>
    <row hidden="1" r="146" s="1" spans="1:12">
      <c r="A146" s="4" t="n">
        <v>43121</v>
      </c>
      <c r="B146" t="s">
        <v>455</v>
      </c>
      <c r="C146" t="s">
        <v>460</v>
      </c>
      <c r="D146" t="s">
        <v>245</v>
      </c>
      <c r="E146" t="s">
        <v>15</v>
      </c>
      <c r="F146" t="s">
        <v>52</v>
      </c>
      <c r="G146" t="s">
        <v>461</v>
      </c>
      <c r="I146" t="s">
        <v>17</v>
      </c>
      <c r="J146" t="s">
        <v>18</v>
      </c>
      <c r="K146" t="s">
        <v>458</v>
      </c>
      <c r="L146" t="s">
        <v>462</v>
      </c>
    </row>
    <row hidden="1" r="147" s="1" spans="1:12">
      <c r="A147" s="4" t="n">
        <v>43121</v>
      </c>
      <c r="B147" t="s">
        <v>455</v>
      </c>
      <c r="C147" t="s">
        <v>460</v>
      </c>
      <c r="D147" t="s">
        <v>245</v>
      </c>
      <c r="E147" t="s">
        <v>15</v>
      </c>
      <c r="F147" t="s">
        <v>52</v>
      </c>
      <c r="G147" t="s">
        <v>461</v>
      </c>
      <c r="I147" t="s">
        <v>17</v>
      </c>
      <c r="J147" t="s">
        <v>18</v>
      </c>
      <c r="K147" t="s">
        <v>458</v>
      </c>
      <c r="L147" t="s">
        <v>462</v>
      </c>
    </row>
    <row hidden="1" r="148" s="1" spans="1:12">
      <c r="A148" s="4" t="n">
        <v>43121</v>
      </c>
      <c r="B148" t="s">
        <v>455</v>
      </c>
      <c r="C148" t="s">
        <v>309</v>
      </c>
      <c r="D148" t="s">
        <v>245</v>
      </c>
      <c r="E148" t="s">
        <v>15</v>
      </c>
      <c r="F148" t="s">
        <v>52</v>
      </c>
      <c r="G148" t="s">
        <v>463</v>
      </c>
      <c r="I148" t="s">
        <v>17</v>
      </c>
      <c r="J148" t="s">
        <v>18</v>
      </c>
      <c r="K148" t="s">
        <v>458</v>
      </c>
      <c r="L148" t="s">
        <v>464</v>
      </c>
    </row>
    <row hidden="1" r="149" s="1" spans="1:12">
      <c r="A149" s="4" t="n">
        <v>43121</v>
      </c>
      <c r="B149" t="s">
        <v>455</v>
      </c>
      <c r="C149" t="s">
        <v>45</v>
      </c>
      <c r="D149" t="s">
        <v>245</v>
      </c>
      <c r="E149" t="s">
        <v>15</v>
      </c>
      <c r="F149" t="s">
        <v>52</v>
      </c>
      <c r="G149" t="s">
        <v>465</v>
      </c>
      <c r="I149" t="s">
        <v>17</v>
      </c>
      <c r="J149" t="s">
        <v>18</v>
      </c>
      <c r="K149" t="s">
        <v>466</v>
      </c>
      <c r="L149" t="s">
        <v>467</v>
      </c>
    </row>
    <row hidden="1" r="150" s="1" spans="1:12">
      <c r="A150" s="4" t="n">
        <v>43121</v>
      </c>
      <c r="B150" t="s">
        <v>455</v>
      </c>
      <c r="C150" t="s">
        <v>309</v>
      </c>
      <c r="D150" t="s">
        <v>245</v>
      </c>
      <c r="E150" t="s">
        <v>15</v>
      </c>
      <c r="F150" t="s">
        <v>16</v>
      </c>
      <c r="G150" t="s">
        <v>468</v>
      </c>
      <c r="I150" t="s">
        <v>17</v>
      </c>
      <c r="J150" t="s">
        <v>18</v>
      </c>
      <c r="K150" t="s">
        <v>466</v>
      </c>
      <c r="L150" t="s">
        <v>469</v>
      </c>
    </row>
    <row hidden="1" r="151" s="1" spans="1:12">
      <c r="A151" s="4" t="n">
        <v>43121</v>
      </c>
      <c r="B151" t="s">
        <v>455</v>
      </c>
      <c r="C151" t="s">
        <v>460</v>
      </c>
      <c r="D151" t="s">
        <v>245</v>
      </c>
      <c r="E151" t="s">
        <v>15</v>
      </c>
      <c r="F151" t="s">
        <v>16</v>
      </c>
      <c r="G151" t="s">
        <v>470</v>
      </c>
      <c r="I151" t="s">
        <v>17</v>
      </c>
      <c r="J151" t="s">
        <v>18</v>
      </c>
      <c r="K151" t="s">
        <v>466</v>
      </c>
      <c r="L151" t="s">
        <v>471</v>
      </c>
    </row>
    <row hidden="1" r="152" s="1" spans="1:12">
      <c r="A152" s="4" t="n">
        <v>43121</v>
      </c>
      <c r="B152" t="s">
        <v>455</v>
      </c>
      <c r="C152" t="s">
        <v>456</v>
      </c>
      <c r="D152" t="s">
        <v>245</v>
      </c>
      <c r="E152" t="s">
        <v>15</v>
      </c>
      <c r="F152" t="s">
        <v>16</v>
      </c>
      <c r="G152" t="s">
        <v>472</v>
      </c>
      <c r="I152" t="s">
        <v>17</v>
      </c>
      <c r="J152" t="s">
        <v>18</v>
      </c>
      <c r="K152" t="s">
        <v>466</v>
      </c>
      <c r="L152" t="s">
        <v>473</v>
      </c>
    </row>
    <row hidden="1" r="153" s="1" spans="1:12">
      <c r="A153" s="4" t="n">
        <v>43121</v>
      </c>
      <c r="B153" t="s">
        <v>455</v>
      </c>
      <c r="C153" t="s">
        <v>38</v>
      </c>
      <c r="D153" t="s">
        <v>245</v>
      </c>
      <c r="E153" t="s">
        <v>15</v>
      </c>
      <c r="F153" t="s">
        <v>52</v>
      </c>
      <c r="G153" t="s">
        <v>474</v>
      </c>
      <c r="I153" t="s">
        <v>17</v>
      </c>
      <c r="J153" t="s">
        <v>18</v>
      </c>
      <c r="K153" t="s">
        <v>458</v>
      </c>
      <c r="L153" t="s">
        <v>475</v>
      </c>
    </row>
    <row hidden="1" r="154" s="1" spans="1:12">
      <c r="A154" s="4" t="n">
        <v>43121</v>
      </c>
      <c r="B154" t="s">
        <v>455</v>
      </c>
      <c r="C154" t="s">
        <v>460</v>
      </c>
      <c r="D154" t="s">
        <v>245</v>
      </c>
      <c r="E154" t="s">
        <v>15</v>
      </c>
      <c r="F154" t="s">
        <v>52</v>
      </c>
      <c r="G154" t="s">
        <v>476</v>
      </c>
      <c r="I154" t="s">
        <v>17</v>
      </c>
      <c r="J154" t="s">
        <v>18</v>
      </c>
      <c r="K154" t="s">
        <v>466</v>
      </c>
      <c r="L154" t="s">
        <v>477</v>
      </c>
    </row>
    <row hidden="1" r="155" s="1" spans="1:12">
      <c r="A155" s="4" t="n">
        <v>43121</v>
      </c>
      <c r="B155" t="s">
        <v>455</v>
      </c>
      <c r="C155" t="s">
        <v>38</v>
      </c>
      <c r="D155" t="s">
        <v>245</v>
      </c>
      <c r="E155" t="s">
        <v>15</v>
      </c>
      <c r="F155" t="s">
        <v>52</v>
      </c>
      <c r="G155" t="s">
        <v>474</v>
      </c>
      <c r="I155" t="s">
        <v>17</v>
      </c>
      <c r="J155" t="s">
        <v>18</v>
      </c>
      <c r="K155" t="s">
        <v>458</v>
      </c>
      <c r="L155" t="s">
        <v>475</v>
      </c>
    </row>
    <row hidden="1" r="156" s="1" spans="1:12">
      <c r="A156" s="4" t="n">
        <v>43121</v>
      </c>
      <c r="B156" t="s">
        <v>478</v>
      </c>
      <c r="C156" t="s">
        <v>479</v>
      </c>
      <c r="D156" t="s">
        <v>245</v>
      </c>
      <c r="E156" t="s">
        <v>15</v>
      </c>
      <c r="F156" t="s">
        <v>16</v>
      </c>
      <c r="G156" t="s">
        <v>480</v>
      </c>
      <c r="I156" t="s">
        <v>17</v>
      </c>
      <c r="J156" t="s">
        <v>18</v>
      </c>
      <c r="K156" t="s">
        <v>481</v>
      </c>
      <c r="L156" t="s">
        <v>482</v>
      </c>
    </row>
    <row hidden="1" r="157" s="1" spans="1:12">
      <c r="A157" s="4" t="n">
        <v>43121</v>
      </c>
      <c r="B157" t="s">
        <v>478</v>
      </c>
      <c r="C157" t="s">
        <v>479</v>
      </c>
      <c r="D157" t="s">
        <v>245</v>
      </c>
      <c r="E157" t="s">
        <v>15</v>
      </c>
      <c r="F157" t="s">
        <v>16</v>
      </c>
      <c r="G157" t="s">
        <v>483</v>
      </c>
      <c r="I157" t="s">
        <v>17</v>
      </c>
      <c r="J157" t="s">
        <v>18</v>
      </c>
      <c r="K157" t="s">
        <v>484</v>
      </c>
      <c r="L157" t="s">
        <v>485</v>
      </c>
    </row>
    <row hidden="1" r="158" s="1" spans="1:12">
      <c r="A158" s="4" t="n">
        <v>43121</v>
      </c>
      <c r="B158" t="s">
        <v>486</v>
      </c>
      <c r="C158" t="s">
        <v>38</v>
      </c>
      <c r="D158" t="s">
        <v>245</v>
      </c>
      <c r="E158" t="s">
        <v>15</v>
      </c>
      <c r="F158" t="s">
        <v>28</v>
      </c>
      <c r="G158" t="s">
        <v>487</v>
      </c>
      <c r="I158" t="s">
        <v>17</v>
      </c>
      <c r="J158" t="s">
        <v>18</v>
      </c>
      <c r="K158" t="s">
        <v>488</v>
      </c>
      <c r="L158" t="s">
        <v>489</v>
      </c>
    </row>
    <row hidden="1" r="159" s="1" spans="1:12">
      <c r="A159" s="4" t="n">
        <v>43121</v>
      </c>
      <c r="B159" t="s">
        <v>486</v>
      </c>
      <c r="C159" t="s">
        <v>38</v>
      </c>
      <c r="D159" t="s">
        <v>245</v>
      </c>
      <c r="E159" t="s">
        <v>15</v>
      </c>
      <c r="F159" t="s">
        <v>28</v>
      </c>
      <c r="G159" t="s">
        <v>490</v>
      </c>
      <c r="I159" t="s">
        <v>17</v>
      </c>
      <c r="J159" t="s">
        <v>18</v>
      </c>
      <c r="K159" t="s">
        <v>491</v>
      </c>
      <c r="L159" t="s">
        <v>492</v>
      </c>
    </row>
    <row hidden="1" r="160" s="1" spans="1:12">
      <c r="A160" s="4" t="n">
        <v>43121</v>
      </c>
      <c r="B160" t="s">
        <v>493</v>
      </c>
      <c r="C160" t="s">
        <v>72</v>
      </c>
      <c r="D160" t="s">
        <v>245</v>
      </c>
      <c r="E160" t="s">
        <v>15</v>
      </c>
      <c r="F160" t="s">
        <v>28</v>
      </c>
      <c r="G160" t="s">
        <v>494</v>
      </c>
      <c r="I160" t="s">
        <v>17</v>
      </c>
      <c r="J160" t="s">
        <v>18</v>
      </c>
      <c r="K160" t="s">
        <v>495</v>
      </c>
      <c r="L160" t="s">
        <v>496</v>
      </c>
    </row>
    <row hidden="1" r="161" s="1" spans="1:12">
      <c r="A161" s="4" t="n">
        <v>43121</v>
      </c>
      <c r="B161" t="s">
        <v>497</v>
      </c>
      <c r="C161" t="s">
        <v>498</v>
      </c>
      <c r="D161" t="s">
        <v>245</v>
      </c>
      <c r="E161" t="s">
        <v>15</v>
      </c>
      <c r="F161" t="s">
        <v>52</v>
      </c>
      <c r="G161" t="s">
        <v>499</v>
      </c>
      <c r="I161" t="s">
        <v>17</v>
      </c>
      <c r="J161" t="s">
        <v>18</v>
      </c>
      <c r="K161" t="s">
        <v>500</v>
      </c>
      <c r="L161" t="s">
        <v>501</v>
      </c>
    </row>
    <row hidden="1" r="162" s="1" spans="1:12">
      <c r="A162" s="4" t="n">
        <v>43121</v>
      </c>
      <c r="B162" t="s">
        <v>497</v>
      </c>
      <c r="C162" t="s">
        <v>498</v>
      </c>
      <c r="D162" t="s">
        <v>245</v>
      </c>
      <c r="E162" t="s">
        <v>15</v>
      </c>
      <c r="F162" t="s">
        <v>34</v>
      </c>
      <c r="G162" t="s">
        <v>502</v>
      </c>
      <c r="I162" t="s">
        <v>17</v>
      </c>
      <c r="J162" t="s">
        <v>18</v>
      </c>
      <c r="K162" t="s">
        <v>500</v>
      </c>
      <c r="L162" t="s">
        <v>503</v>
      </c>
    </row>
    <row hidden="1" r="163" s="1" spans="1:12">
      <c r="A163" s="4" t="n">
        <v>43121</v>
      </c>
      <c r="B163" t="s">
        <v>497</v>
      </c>
      <c r="C163" t="s">
        <v>498</v>
      </c>
      <c r="D163" t="s">
        <v>245</v>
      </c>
      <c r="E163" t="s">
        <v>15</v>
      </c>
      <c r="F163" t="s">
        <v>28</v>
      </c>
      <c r="G163" t="s">
        <v>504</v>
      </c>
      <c r="I163" t="s">
        <v>17</v>
      </c>
      <c r="J163" t="s">
        <v>18</v>
      </c>
      <c r="K163" t="s">
        <v>500</v>
      </c>
      <c r="L163" t="s">
        <v>505</v>
      </c>
    </row>
    <row hidden="1" r="164" s="1" spans="1:12">
      <c r="A164" s="4" t="n">
        <v>43121</v>
      </c>
      <c r="B164" t="s">
        <v>497</v>
      </c>
      <c r="C164" t="s">
        <v>498</v>
      </c>
      <c r="D164" t="s">
        <v>245</v>
      </c>
      <c r="E164" t="s">
        <v>15</v>
      </c>
      <c r="F164" t="s">
        <v>34</v>
      </c>
      <c r="G164" t="s">
        <v>506</v>
      </c>
      <c r="I164" t="s">
        <v>17</v>
      </c>
      <c r="J164" t="s">
        <v>18</v>
      </c>
      <c r="K164" t="s">
        <v>500</v>
      </c>
      <c r="L164" t="s">
        <v>507</v>
      </c>
    </row>
    <row hidden="1" r="165" s="1" spans="1:12">
      <c r="A165" s="4" t="n">
        <v>43121</v>
      </c>
      <c r="B165" t="s">
        <v>508</v>
      </c>
      <c r="C165" t="s">
        <v>509</v>
      </c>
      <c r="D165" t="s">
        <v>245</v>
      </c>
      <c r="E165" t="s">
        <v>15</v>
      </c>
      <c r="F165" t="s">
        <v>52</v>
      </c>
      <c r="G165" t="s">
        <v>510</v>
      </c>
      <c r="I165" t="s">
        <v>17</v>
      </c>
      <c r="J165" t="s">
        <v>18</v>
      </c>
      <c r="K165" t="s">
        <v>511</v>
      </c>
      <c r="L165" t="s">
        <v>512</v>
      </c>
    </row>
    <row hidden="1" r="166" s="1" spans="1:12">
      <c r="A166" s="4" t="n">
        <v>43121</v>
      </c>
      <c r="B166" t="s">
        <v>508</v>
      </c>
      <c r="C166" t="s">
        <v>513</v>
      </c>
      <c r="D166" t="s">
        <v>245</v>
      </c>
      <c r="E166" t="s">
        <v>15</v>
      </c>
      <c r="F166" t="s">
        <v>28</v>
      </c>
      <c r="G166" t="s">
        <v>514</v>
      </c>
      <c r="I166" t="s">
        <v>17</v>
      </c>
      <c r="J166" t="s">
        <v>18</v>
      </c>
      <c r="K166" t="s">
        <v>511</v>
      </c>
      <c r="L166" t="s">
        <v>515</v>
      </c>
    </row>
    <row hidden="1" r="167" s="1" spans="1:12">
      <c r="A167" s="4" t="n">
        <v>43121</v>
      </c>
      <c r="B167" t="s">
        <v>508</v>
      </c>
      <c r="C167" t="s">
        <v>513</v>
      </c>
      <c r="D167" t="s">
        <v>245</v>
      </c>
      <c r="E167" t="s">
        <v>15</v>
      </c>
      <c r="F167" t="s">
        <v>34</v>
      </c>
      <c r="G167" t="s">
        <v>516</v>
      </c>
      <c r="I167" t="s">
        <v>17</v>
      </c>
      <c r="J167" t="s">
        <v>18</v>
      </c>
      <c r="K167" t="s">
        <v>517</v>
      </c>
      <c r="L167" t="s">
        <v>518</v>
      </c>
    </row>
    <row hidden="1" r="168" s="1" spans="1:12">
      <c r="A168" s="4" t="n">
        <v>43121</v>
      </c>
      <c r="B168" t="s">
        <v>508</v>
      </c>
      <c r="C168" t="s">
        <v>509</v>
      </c>
      <c r="D168" t="s">
        <v>245</v>
      </c>
      <c r="E168" t="s">
        <v>15</v>
      </c>
      <c r="F168" t="s">
        <v>34</v>
      </c>
      <c r="G168" t="s">
        <v>519</v>
      </c>
      <c r="I168" t="s">
        <v>17</v>
      </c>
      <c r="J168" t="s">
        <v>18</v>
      </c>
      <c r="K168" t="s">
        <v>511</v>
      </c>
      <c r="L168" t="s">
        <v>520</v>
      </c>
    </row>
    <row hidden="1" r="169" s="1" spans="1:12">
      <c r="A169" s="4" t="n">
        <v>43121</v>
      </c>
      <c r="B169" t="s">
        <v>521</v>
      </c>
      <c r="C169" t="s">
        <v>522</v>
      </c>
      <c r="D169" t="s">
        <v>245</v>
      </c>
      <c r="E169" t="s">
        <v>15</v>
      </c>
      <c r="F169" t="s">
        <v>16</v>
      </c>
      <c r="G169" t="s">
        <v>523</v>
      </c>
      <c r="I169" t="s">
        <v>17</v>
      </c>
      <c r="J169" t="s">
        <v>18</v>
      </c>
      <c r="K169" t="s">
        <v>524</v>
      </c>
      <c r="L169" t="s">
        <v>525</v>
      </c>
    </row>
    <row hidden="1" r="170" s="1" spans="1:12">
      <c r="A170" s="4" t="n">
        <v>43121</v>
      </c>
      <c r="B170" t="s">
        <v>526</v>
      </c>
      <c r="C170" t="s">
        <v>38</v>
      </c>
      <c r="D170" t="s">
        <v>245</v>
      </c>
      <c r="E170" t="s">
        <v>15</v>
      </c>
      <c r="F170" t="s">
        <v>16</v>
      </c>
      <c r="G170" t="s">
        <v>526</v>
      </c>
      <c r="I170" t="s">
        <v>17</v>
      </c>
      <c r="J170" t="s">
        <v>18</v>
      </c>
      <c r="K170" t="s">
        <v>527</v>
      </c>
      <c r="L170" t="s">
        <v>528</v>
      </c>
    </row>
    <row hidden="1" r="171" s="1" spans="1:12">
      <c r="A171" s="4" t="n">
        <v>43121</v>
      </c>
      <c r="B171" t="s">
        <v>529</v>
      </c>
      <c r="C171" t="s">
        <v>76</v>
      </c>
      <c r="D171" t="s">
        <v>245</v>
      </c>
      <c r="E171" t="s">
        <v>15</v>
      </c>
      <c r="F171" t="s">
        <v>16</v>
      </c>
      <c r="G171" t="s">
        <v>529</v>
      </c>
      <c r="I171" t="s">
        <v>17</v>
      </c>
      <c r="J171" t="s">
        <v>18</v>
      </c>
      <c r="K171" t="s">
        <v>530</v>
      </c>
      <c r="L171" t="s">
        <v>531</v>
      </c>
    </row>
    <row r="172" spans="1:12">
      <c r="A172" s="4" t="n">
        <v>43121</v>
      </c>
      <c r="B172" t="s">
        <v>532</v>
      </c>
      <c r="C172" t="s">
        <v>80</v>
      </c>
      <c r="D172" t="s">
        <v>245</v>
      </c>
      <c r="E172" t="s">
        <v>51</v>
      </c>
      <c r="F172" t="s">
        <v>52</v>
      </c>
      <c r="G172" t="s">
        <v>533</v>
      </c>
      <c r="I172" t="s">
        <v>17</v>
      </c>
      <c r="J172" t="s">
        <v>18</v>
      </c>
      <c r="K172" t="s">
        <v>534</v>
      </c>
      <c r="L172" t="s">
        <v>535</v>
      </c>
    </row>
    <row r="173" spans="1:12">
      <c r="A173" s="4" t="n">
        <v>43121</v>
      </c>
      <c r="B173" t="s">
        <v>532</v>
      </c>
      <c r="C173" t="s">
        <v>80</v>
      </c>
      <c r="D173" t="s">
        <v>245</v>
      </c>
      <c r="E173" t="s">
        <v>51</v>
      </c>
      <c r="F173" t="s">
        <v>16</v>
      </c>
      <c r="G173" t="s">
        <v>536</v>
      </c>
      <c r="I173" t="s">
        <v>17</v>
      </c>
      <c r="J173" t="s">
        <v>18</v>
      </c>
      <c r="K173" t="s">
        <v>537</v>
      </c>
      <c r="L173" t="s">
        <v>538</v>
      </c>
    </row>
    <row r="174" spans="1:12">
      <c r="A174" s="4" t="n">
        <v>43121</v>
      </c>
      <c r="B174" t="s">
        <v>532</v>
      </c>
      <c r="C174" t="s">
        <v>80</v>
      </c>
      <c r="D174" t="s">
        <v>245</v>
      </c>
      <c r="E174" t="s">
        <v>51</v>
      </c>
      <c r="F174" t="s">
        <v>28</v>
      </c>
      <c r="G174" t="s">
        <v>539</v>
      </c>
      <c r="I174" t="s">
        <v>17</v>
      </c>
      <c r="J174" t="s">
        <v>18</v>
      </c>
      <c r="K174" t="s">
        <v>537</v>
      </c>
      <c r="L174" t="s">
        <v>540</v>
      </c>
    </row>
    <row r="175" spans="1:12">
      <c r="A175" s="4" t="n">
        <v>43121</v>
      </c>
      <c r="B175" t="s">
        <v>532</v>
      </c>
      <c r="C175" t="s">
        <v>80</v>
      </c>
      <c r="D175" t="s">
        <v>245</v>
      </c>
      <c r="E175" t="s">
        <v>51</v>
      </c>
      <c r="F175" t="s">
        <v>52</v>
      </c>
      <c r="G175" t="s">
        <v>541</v>
      </c>
      <c r="I175" t="s">
        <v>17</v>
      </c>
      <c r="J175" t="s">
        <v>18</v>
      </c>
      <c r="K175" t="s">
        <v>542</v>
      </c>
      <c r="L175" t="s">
        <v>543</v>
      </c>
    </row>
    <row r="176" spans="1:12">
      <c r="A176" s="4" t="n">
        <v>43121</v>
      </c>
      <c r="B176" t="s">
        <v>532</v>
      </c>
      <c r="C176" t="s">
        <v>80</v>
      </c>
      <c r="D176" t="s">
        <v>245</v>
      </c>
      <c r="E176" t="s">
        <v>51</v>
      </c>
      <c r="F176" t="s">
        <v>52</v>
      </c>
      <c r="G176" t="s">
        <v>544</v>
      </c>
      <c r="I176" t="s">
        <v>17</v>
      </c>
      <c r="J176" t="s">
        <v>18</v>
      </c>
      <c r="K176" t="s">
        <v>534</v>
      </c>
      <c r="L176" t="s">
        <v>545</v>
      </c>
    </row>
    <row hidden="1" r="177" s="1" spans="1:12">
      <c r="A177" s="4" t="n">
        <v>43121</v>
      </c>
      <c r="B177" t="s">
        <v>546</v>
      </c>
      <c r="C177" t="s">
        <v>547</v>
      </c>
      <c r="D177" t="s">
        <v>245</v>
      </c>
      <c r="E177" t="s">
        <v>15</v>
      </c>
      <c r="F177" t="s">
        <v>28</v>
      </c>
      <c r="G177" t="s">
        <v>548</v>
      </c>
      <c r="I177" t="s">
        <v>17</v>
      </c>
      <c r="J177" t="s">
        <v>18</v>
      </c>
      <c r="K177" t="s">
        <v>549</v>
      </c>
      <c r="L177" t="s">
        <v>550</v>
      </c>
    </row>
    <row hidden="1" r="178" s="1" spans="1:12">
      <c r="A178" s="4" t="n">
        <v>43121</v>
      </c>
      <c r="B178" t="s">
        <v>546</v>
      </c>
      <c r="C178" t="s">
        <v>547</v>
      </c>
      <c r="D178" t="s">
        <v>245</v>
      </c>
      <c r="E178" t="s">
        <v>15</v>
      </c>
      <c r="F178" t="s">
        <v>34</v>
      </c>
      <c r="G178" t="s">
        <v>551</v>
      </c>
      <c r="I178" t="s">
        <v>17</v>
      </c>
      <c r="J178" t="s">
        <v>18</v>
      </c>
      <c r="K178" t="s">
        <v>549</v>
      </c>
      <c r="L178" t="s">
        <v>552</v>
      </c>
    </row>
    <row hidden="1" r="179" s="1" spans="1:12">
      <c r="A179" s="4" t="n">
        <v>43121</v>
      </c>
      <c r="B179" t="s">
        <v>553</v>
      </c>
      <c r="C179" t="s">
        <v>554</v>
      </c>
      <c r="D179" t="s">
        <v>245</v>
      </c>
      <c r="E179" t="s">
        <v>15</v>
      </c>
      <c r="F179" t="s">
        <v>16</v>
      </c>
      <c r="G179" t="s">
        <v>553</v>
      </c>
      <c r="I179" t="s">
        <v>17</v>
      </c>
      <c r="J179" t="s">
        <v>18</v>
      </c>
      <c r="K179" t="s">
        <v>555</v>
      </c>
      <c r="L179" t="s">
        <v>556</v>
      </c>
    </row>
    <row hidden="1" r="180" s="1" spans="1:12">
      <c r="A180" s="4" t="n">
        <v>43121</v>
      </c>
      <c r="B180" t="s">
        <v>553</v>
      </c>
      <c r="C180" t="s">
        <v>554</v>
      </c>
      <c r="D180" t="s">
        <v>245</v>
      </c>
      <c r="E180" t="s">
        <v>15</v>
      </c>
      <c r="F180" t="s">
        <v>16</v>
      </c>
      <c r="G180" t="s">
        <v>553</v>
      </c>
      <c r="I180" t="s">
        <v>17</v>
      </c>
      <c r="J180" t="s">
        <v>18</v>
      </c>
      <c r="K180" t="s">
        <v>557</v>
      </c>
      <c r="L180" t="s">
        <v>558</v>
      </c>
    </row>
    <row hidden="1" r="181" s="1" spans="1:12">
      <c r="A181" s="4" t="n">
        <v>43121</v>
      </c>
      <c r="B181" t="s">
        <v>553</v>
      </c>
      <c r="C181" t="s">
        <v>554</v>
      </c>
      <c r="D181" t="s">
        <v>245</v>
      </c>
      <c r="E181" t="s">
        <v>15</v>
      </c>
      <c r="F181" t="s">
        <v>16</v>
      </c>
      <c r="G181" t="s">
        <v>553</v>
      </c>
      <c r="I181" t="s">
        <v>17</v>
      </c>
      <c r="J181" t="s">
        <v>18</v>
      </c>
      <c r="K181" t="s">
        <v>559</v>
      </c>
      <c r="L181" t="s">
        <v>560</v>
      </c>
    </row>
    <row hidden="1" r="182" s="1" spans="1:12">
      <c r="A182" s="4" t="n">
        <v>43121</v>
      </c>
      <c r="B182" t="s">
        <v>561</v>
      </c>
      <c r="C182" t="s">
        <v>522</v>
      </c>
      <c r="D182" t="s">
        <v>245</v>
      </c>
      <c r="E182" t="s">
        <v>15</v>
      </c>
      <c r="F182" t="s">
        <v>16</v>
      </c>
      <c r="G182" t="s">
        <v>561</v>
      </c>
      <c r="I182" t="s">
        <v>17</v>
      </c>
      <c r="J182" t="s">
        <v>18</v>
      </c>
      <c r="K182" t="s">
        <v>562</v>
      </c>
      <c r="L182" t="s">
        <v>563</v>
      </c>
    </row>
    <row hidden="1" r="183" s="1" spans="1:12">
      <c r="A183" s="4" t="n">
        <v>43121</v>
      </c>
      <c r="B183" t="s">
        <v>564</v>
      </c>
      <c r="C183" t="s">
        <v>62</v>
      </c>
      <c r="D183" t="s">
        <v>245</v>
      </c>
      <c r="E183" t="s">
        <v>15</v>
      </c>
      <c r="F183" t="s">
        <v>34</v>
      </c>
      <c r="G183" t="s">
        <v>565</v>
      </c>
      <c r="I183" t="s">
        <v>17</v>
      </c>
      <c r="J183" t="s">
        <v>18</v>
      </c>
      <c r="K183" t="s">
        <v>566</v>
      </c>
      <c r="L183" t="s">
        <v>567</v>
      </c>
    </row>
    <row hidden="1" r="184" s="1" spans="1:12">
      <c r="A184" s="4" t="n">
        <v>43121</v>
      </c>
      <c r="B184" t="s">
        <v>568</v>
      </c>
      <c r="C184" t="s">
        <v>157</v>
      </c>
      <c r="D184" t="s">
        <v>245</v>
      </c>
      <c r="E184" t="s">
        <v>15</v>
      </c>
      <c r="F184" t="s">
        <v>16</v>
      </c>
      <c r="G184" t="s">
        <v>569</v>
      </c>
      <c r="I184" t="s">
        <v>17</v>
      </c>
      <c r="J184" t="s">
        <v>18</v>
      </c>
      <c r="K184" t="s">
        <v>570</v>
      </c>
      <c r="L184" t="s">
        <v>571</v>
      </c>
    </row>
    <row hidden="1" r="185" s="1" spans="1:12">
      <c r="A185" s="4" t="n">
        <v>43121</v>
      </c>
      <c r="B185" t="s">
        <v>568</v>
      </c>
      <c r="C185" t="s">
        <v>157</v>
      </c>
      <c r="D185" t="s">
        <v>245</v>
      </c>
      <c r="E185" t="s">
        <v>15</v>
      </c>
      <c r="F185" t="s">
        <v>16</v>
      </c>
      <c r="G185" t="s">
        <v>572</v>
      </c>
      <c r="I185" t="s">
        <v>17</v>
      </c>
      <c r="J185" t="s">
        <v>18</v>
      </c>
      <c r="K185" t="s">
        <v>570</v>
      </c>
      <c r="L185" t="s">
        <v>573</v>
      </c>
    </row>
    <row hidden="1" r="186" s="1" spans="1:12">
      <c r="A186" s="4" t="n">
        <v>43121</v>
      </c>
      <c r="B186" t="s">
        <v>574</v>
      </c>
      <c r="C186" t="s">
        <v>575</v>
      </c>
      <c r="D186" t="s">
        <v>245</v>
      </c>
      <c r="E186" t="s">
        <v>15</v>
      </c>
      <c r="F186" t="s">
        <v>52</v>
      </c>
      <c r="G186" t="s">
        <v>576</v>
      </c>
      <c r="I186" t="s">
        <v>17</v>
      </c>
      <c r="J186" t="s">
        <v>18</v>
      </c>
      <c r="K186" t="s">
        <v>577</v>
      </c>
      <c r="L186" t="s">
        <v>578</v>
      </c>
    </row>
    <row hidden="1" r="187" s="1" spans="1:12">
      <c r="A187" s="4" t="n">
        <v>43121</v>
      </c>
      <c r="B187" t="s">
        <v>574</v>
      </c>
      <c r="C187" t="s">
        <v>575</v>
      </c>
      <c r="D187" t="s">
        <v>245</v>
      </c>
      <c r="E187" t="s">
        <v>15</v>
      </c>
      <c r="F187" t="s">
        <v>34</v>
      </c>
      <c r="G187" t="s">
        <v>579</v>
      </c>
      <c r="I187" t="s">
        <v>17</v>
      </c>
      <c r="J187" t="s">
        <v>18</v>
      </c>
      <c r="K187" t="s">
        <v>577</v>
      </c>
      <c r="L187" t="s">
        <v>580</v>
      </c>
    </row>
    <row hidden="1" r="188" s="1" spans="1:12">
      <c r="A188" s="4" t="n">
        <v>43121</v>
      </c>
      <c r="B188" t="s">
        <v>574</v>
      </c>
      <c r="C188" t="s">
        <v>575</v>
      </c>
      <c r="D188" t="s">
        <v>245</v>
      </c>
      <c r="E188" t="s">
        <v>15</v>
      </c>
      <c r="F188" t="s">
        <v>28</v>
      </c>
      <c r="G188" t="s">
        <v>581</v>
      </c>
      <c r="I188" t="s">
        <v>17</v>
      </c>
      <c r="J188" t="s">
        <v>18</v>
      </c>
      <c r="K188" t="s">
        <v>577</v>
      </c>
      <c r="L188" t="s">
        <v>582</v>
      </c>
    </row>
    <row hidden="1" r="189" s="1" spans="1:12">
      <c r="A189" s="4" t="n">
        <v>43121</v>
      </c>
      <c r="B189" t="s">
        <v>574</v>
      </c>
      <c r="C189" t="s">
        <v>575</v>
      </c>
      <c r="D189" t="s">
        <v>245</v>
      </c>
      <c r="E189" t="s">
        <v>15</v>
      </c>
      <c r="F189" t="s">
        <v>16</v>
      </c>
      <c r="G189" t="s">
        <v>574</v>
      </c>
      <c r="I189" t="s">
        <v>17</v>
      </c>
      <c r="J189" t="s">
        <v>18</v>
      </c>
      <c r="K189" t="s">
        <v>583</v>
      </c>
      <c r="L189" t="s">
        <v>584</v>
      </c>
    </row>
    <row hidden="1" r="190" s="1" spans="1:12">
      <c r="A190" s="4" t="n">
        <v>43121</v>
      </c>
      <c r="B190" t="s">
        <v>585</v>
      </c>
      <c r="C190" t="s">
        <v>586</v>
      </c>
      <c r="D190" t="s">
        <v>245</v>
      </c>
      <c r="E190" t="s">
        <v>15</v>
      </c>
      <c r="F190" t="s">
        <v>28</v>
      </c>
      <c r="G190" t="s">
        <v>587</v>
      </c>
      <c r="I190" t="s">
        <v>17</v>
      </c>
      <c r="J190" t="s">
        <v>18</v>
      </c>
      <c r="K190" t="s">
        <v>588</v>
      </c>
      <c r="L190" t="s">
        <v>589</v>
      </c>
    </row>
    <row hidden="1" r="191" s="1" spans="1:12">
      <c r="A191" s="4" t="n">
        <v>43121</v>
      </c>
      <c r="B191" t="s">
        <v>590</v>
      </c>
      <c r="C191" t="s">
        <v>591</v>
      </c>
      <c r="D191" t="s">
        <v>245</v>
      </c>
      <c r="E191" t="s">
        <v>15</v>
      </c>
      <c r="F191" t="s">
        <v>34</v>
      </c>
      <c r="G191" t="s">
        <v>551</v>
      </c>
      <c r="I191" t="s">
        <v>17</v>
      </c>
      <c r="J191" t="s">
        <v>18</v>
      </c>
      <c r="K191" t="s">
        <v>592</v>
      </c>
      <c r="L191" t="s">
        <v>593</v>
      </c>
    </row>
    <row hidden="1" r="192" s="1" spans="1:12">
      <c r="A192" s="4" t="n">
        <v>43121</v>
      </c>
      <c r="B192" t="s">
        <v>590</v>
      </c>
      <c r="C192" t="s">
        <v>591</v>
      </c>
      <c r="D192" t="s">
        <v>245</v>
      </c>
      <c r="E192" t="s">
        <v>15</v>
      </c>
      <c r="F192" t="s">
        <v>52</v>
      </c>
      <c r="G192" t="s">
        <v>594</v>
      </c>
      <c r="I192" t="s">
        <v>17</v>
      </c>
      <c r="J192" t="s">
        <v>18</v>
      </c>
      <c r="K192" t="s">
        <v>595</v>
      </c>
      <c r="L192" t="s">
        <v>596</v>
      </c>
    </row>
    <row hidden="1" r="193" s="1" spans="1:12">
      <c r="A193" s="4" t="n">
        <v>43121</v>
      </c>
      <c r="B193" t="s">
        <v>237</v>
      </c>
      <c r="C193" t="s">
        <v>93</v>
      </c>
      <c r="D193" t="s">
        <v>22</v>
      </c>
      <c r="E193" t="s">
        <v>15</v>
      </c>
      <c r="F193" t="s">
        <v>34</v>
      </c>
      <c r="G193" t="s">
        <v>597</v>
      </c>
      <c r="I193" t="s">
        <v>17</v>
      </c>
      <c r="J193" t="s">
        <v>18</v>
      </c>
      <c r="K193" t="s">
        <v>242</v>
      </c>
      <c r="L193" t="s">
        <v>598</v>
      </c>
    </row>
    <row hidden="1" r="194" s="1" spans="1:12">
      <c r="A194" s="4" t="n">
        <v>43121</v>
      </c>
      <c r="B194" t="s">
        <v>561</v>
      </c>
      <c r="C194" t="s">
        <v>522</v>
      </c>
      <c r="D194" t="s">
        <v>245</v>
      </c>
      <c r="E194" t="s">
        <v>15</v>
      </c>
      <c r="F194" t="s">
        <v>16</v>
      </c>
      <c r="G194" t="s">
        <v>561</v>
      </c>
      <c r="I194" t="s">
        <v>17</v>
      </c>
      <c r="J194" t="s">
        <v>18</v>
      </c>
      <c r="K194" t="s">
        <v>599</v>
      </c>
      <c r="L194" t="s">
        <v>600</v>
      </c>
    </row>
    <row hidden="1" r="195" s="1" spans="1:12">
      <c r="A195" s="4" t="n">
        <v>43121</v>
      </c>
      <c r="B195" t="s">
        <v>442</v>
      </c>
      <c r="C195" t="s">
        <v>13</v>
      </c>
      <c r="D195" t="s">
        <v>245</v>
      </c>
      <c r="E195" t="s">
        <v>15</v>
      </c>
      <c r="F195" t="s">
        <v>28</v>
      </c>
      <c r="G195" t="s">
        <v>601</v>
      </c>
      <c r="I195" t="s">
        <v>17</v>
      </c>
      <c r="J195" t="s">
        <v>18</v>
      </c>
      <c r="K195" t="s">
        <v>444</v>
      </c>
      <c r="L195" t="s">
        <v>602</v>
      </c>
    </row>
    <row hidden="1" r="196" s="1" spans="1:12">
      <c r="A196" s="4" t="n">
        <v>43121</v>
      </c>
      <c r="B196" t="s">
        <v>237</v>
      </c>
      <c r="C196" t="s">
        <v>93</v>
      </c>
      <c r="D196" t="s">
        <v>22</v>
      </c>
      <c r="E196" t="s">
        <v>15</v>
      </c>
      <c r="F196" t="s">
        <v>52</v>
      </c>
      <c r="G196" t="s">
        <v>603</v>
      </c>
      <c r="I196" t="s">
        <v>17</v>
      </c>
      <c r="J196" t="s">
        <v>18</v>
      </c>
      <c r="K196" t="s">
        <v>239</v>
      </c>
      <c r="L196" t="s">
        <v>604</v>
      </c>
    </row>
    <row r="197" spans="1:12">
      <c r="A197" s="4" t="n">
        <v>43121</v>
      </c>
      <c r="B197" t="s">
        <v>532</v>
      </c>
      <c r="C197" t="s">
        <v>80</v>
      </c>
      <c r="D197" t="s">
        <v>245</v>
      </c>
      <c r="E197" t="s">
        <v>51</v>
      </c>
      <c r="F197" t="s">
        <v>52</v>
      </c>
      <c r="G197" t="s">
        <v>605</v>
      </c>
      <c r="I197" t="s">
        <v>17</v>
      </c>
      <c r="J197" t="s">
        <v>18</v>
      </c>
      <c r="K197" t="s">
        <v>537</v>
      </c>
      <c r="L197" t="s">
        <v>606</v>
      </c>
    </row>
    <row hidden="1" r="198" s="1" spans="1:12">
      <c r="A198" s="4" t="n">
        <v>43121</v>
      </c>
      <c r="B198" t="s">
        <v>71</v>
      </c>
      <c r="C198" t="s">
        <v>38</v>
      </c>
      <c r="D198" t="s">
        <v>22</v>
      </c>
      <c r="E198" t="s">
        <v>15</v>
      </c>
      <c r="F198" t="s">
        <v>16</v>
      </c>
      <c r="G198" t="s">
        <v>607</v>
      </c>
      <c r="I198" t="s">
        <v>17</v>
      </c>
      <c r="J198" t="s">
        <v>18</v>
      </c>
      <c r="K198" t="s">
        <v>608</v>
      </c>
      <c r="L198" t="s">
        <v>609</v>
      </c>
    </row>
    <row hidden="1" r="199" s="1" spans="1:12">
      <c r="A199" s="4" t="n">
        <v>43121</v>
      </c>
      <c r="B199" t="s">
        <v>223</v>
      </c>
      <c r="C199" t="s">
        <v>80</v>
      </c>
      <c r="D199" t="s">
        <v>22</v>
      </c>
      <c r="E199" t="s">
        <v>15</v>
      </c>
      <c r="F199" t="s">
        <v>16</v>
      </c>
      <c r="G199" t="s">
        <v>224</v>
      </c>
      <c r="I199" t="s">
        <v>17</v>
      </c>
      <c r="J199" t="s">
        <v>18</v>
      </c>
      <c r="K199" t="s">
        <v>225</v>
      </c>
      <c r="L199" t="s">
        <v>226</v>
      </c>
    </row>
    <row hidden="1" r="200" s="1" spans="1:12">
      <c r="A200" s="4" t="n">
        <v>43121</v>
      </c>
      <c r="B200" t="s">
        <v>164</v>
      </c>
      <c r="C200" t="s">
        <v>80</v>
      </c>
      <c r="D200" t="s">
        <v>22</v>
      </c>
      <c r="E200" t="s">
        <v>15</v>
      </c>
      <c r="F200" t="s">
        <v>52</v>
      </c>
      <c r="G200" t="s">
        <v>171</v>
      </c>
      <c r="I200" t="s">
        <v>17</v>
      </c>
      <c r="J200" t="s">
        <v>18</v>
      </c>
      <c r="K200" t="s">
        <v>172</v>
      </c>
      <c r="L200" t="s">
        <v>173</v>
      </c>
    </row>
    <row hidden="1" r="201" s="1" spans="1:12">
      <c r="A201" s="4" t="n">
        <v>43121</v>
      </c>
      <c r="B201" t="s">
        <v>427</v>
      </c>
      <c r="C201" t="s">
        <v>428</v>
      </c>
      <c r="D201" t="s">
        <v>245</v>
      </c>
      <c r="E201" t="s">
        <v>15</v>
      </c>
      <c r="F201" t="s">
        <v>34</v>
      </c>
      <c r="G201" t="s">
        <v>429</v>
      </c>
      <c r="I201" t="s">
        <v>17</v>
      </c>
      <c r="J201" t="s">
        <v>18</v>
      </c>
      <c r="K201" t="s">
        <v>430</v>
      </c>
      <c r="L201" t="s">
        <v>431</v>
      </c>
    </row>
    <row hidden="1" r="202" s="1" spans="1:12">
      <c r="A202" s="4" t="n">
        <v>43121</v>
      </c>
      <c r="B202" t="s">
        <v>564</v>
      </c>
      <c r="C202" t="s">
        <v>62</v>
      </c>
      <c r="D202" t="s">
        <v>245</v>
      </c>
      <c r="E202" t="s">
        <v>15</v>
      </c>
      <c r="F202" t="s">
        <v>28</v>
      </c>
      <c r="G202" t="s">
        <v>610</v>
      </c>
      <c r="I202" t="s">
        <v>17</v>
      </c>
      <c r="J202" t="s">
        <v>18</v>
      </c>
      <c r="K202" t="s">
        <v>611</v>
      </c>
      <c r="L202" t="s">
        <v>612</v>
      </c>
    </row>
    <row hidden="1" r="203" s="1" spans="1:12">
      <c r="A203" s="4" t="n">
        <v>43121</v>
      </c>
      <c r="B203" t="s">
        <v>109</v>
      </c>
      <c r="C203" t="s">
        <v>80</v>
      </c>
      <c r="D203" t="s">
        <v>22</v>
      </c>
      <c r="E203" t="s">
        <v>15</v>
      </c>
      <c r="F203" t="s">
        <v>16</v>
      </c>
      <c r="G203" t="s">
        <v>109</v>
      </c>
      <c r="I203" t="s">
        <v>17</v>
      </c>
      <c r="J203" t="s">
        <v>18</v>
      </c>
      <c r="K203" t="s">
        <v>110</v>
      </c>
      <c r="L203" t="s">
        <v>613</v>
      </c>
    </row>
    <row hidden="1" r="204" s="1" spans="1:12">
      <c r="A204" s="4" t="n">
        <v>43121</v>
      </c>
      <c r="B204" t="s">
        <v>455</v>
      </c>
      <c r="C204" t="s">
        <v>456</v>
      </c>
      <c r="D204" t="s">
        <v>245</v>
      </c>
      <c r="E204" t="s">
        <v>15</v>
      </c>
      <c r="F204" t="s">
        <v>28</v>
      </c>
      <c r="G204" t="s">
        <v>614</v>
      </c>
      <c r="I204" t="s">
        <v>17</v>
      </c>
      <c r="J204" t="s">
        <v>18</v>
      </c>
      <c r="K204" t="s">
        <v>466</v>
      </c>
      <c r="L204" t="s">
        <v>615</v>
      </c>
    </row>
    <row hidden="1" r="205" s="1" spans="1:12">
      <c r="A205" s="4" t="n">
        <v>43121</v>
      </c>
      <c r="B205" t="s">
        <v>437</v>
      </c>
      <c r="C205" t="s">
        <v>438</v>
      </c>
      <c r="D205" t="s">
        <v>245</v>
      </c>
      <c r="E205" t="s">
        <v>15</v>
      </c>
      <c r="F205" t="s">
        <v>16</v>
      </c>
      <c r="G205" t="s">
        <v>616</v>
      </c>
      <c r="I205" t="s">
        <v>17</v>
      </c>
      <c r="J205" t="s">
        <v>18</v>
      </c>
      <c r="K205" t="s">
        <v>440</v>
      </c>
      <c r="L205" t="s">
        <v>617</v>
      </c>
    </row>
    <row hidden="1" r="206" s="1" spans="1:12">
      <c r="A206" s="4" t="n">
        <v>43121</v>
      </c>
      <c r="B206" t="s">
        <v>618</v>
      </c>
      <c r="C206" t="s">
        <v>619</v>
      </c>
      <c r="D206" t="s">
        <v>22</v>
      </c>
      <c r="E206" t="s">
        <v>15</v>
      </c>
      <c r="F206" t="s">
        <v>16</v>
      </c>
      <c r="G206" t="s">
        <v>620</v>
      </c>
      <c r="I206" t="s">
        <v>17</v>
      </c>
      <c r="J206" t="s">
        <v>18</v>
      </c>
      <c r="K206" t="s">
        <v>621</v>
      </c>
      <c r="L206" t="s">
        <v>622</v>
      </c>
    </row>
    <row hidden="1" r="207" s="1" spans="1:12">
      <c r="A207" s="4" t="n">
        <v>43121</v>
      </c>
      <c r="B207" t="s">
        <v>12</v>
      </c>
      <c r="C207" t="s">
        <v>13</v>
      </c>
      <c r="D207" t="s">
        <v>22</v>
      </c>
      <c r="E207" t="s">
        <v>15</v>
      </c>
      <c r="F207" t="s">
        <v>16</v>
      </c>
      <c r="G207" t="s">
        <v>12</v>
      </c>
      <c r="I207" t="s">
        <v>17</v>
      </c>
      <c r="J207" t="s">
        <v>18</v>
      </c>
      <c r="K207" t="s">
        <v>19</v>
      </c>
      <c r="L207" t="s">
        <v>25</v>
      </c>
    </row>
    <row hidden="1" r="208" s="1" spans="1:12">
      <c r="A208" s="4" t="n">
        <v>43121</v>
      </c>
      <c r="B208" t="s">
        <v>104</v>
      </c>
      <c r="C208" t="s">
        <v>93</v>
      </c>
      <c r="D208" t="s">
        <v>22</v>
      </c>
      <c r="E208" t="s">
        <v>15</v>
      </c>
      <c r="F208" t="s">
        <v>16</v>
      </c>
      <c r="G208" t="s">
        <v>104</v>
      </c>
      <c r="I208" t="s">
        <v>17</v>
      </c>
      <c r="J208" t="s">
        <v>18</v>
      </c>
      <c r="K208" t="s">
        <v>105</v>
      </c>
      <c r="L208" t="s">
        <v>106</v>
      </c>
    </row>
    <row hidden="1" r="209" s="1" spans="1:12">
      <c r="A209" s="4" t="n">
        <v>43121</v>
      </c>
      <c r="B209" t="s">
        <v>251</v>
      </c>
      <c r="C209" t="s">
        <v>80</v>
      </c>
      <c r="D209" t="s">
        <v>14</v>
      </c>
      <c r="E209" t="s">
        <v>15</v>
      </c>
      <c r="F209" t="s">
        <v>16</v>
      </c>
      <c r="G209" t="s">
        <v>623</v>
      </c>
      <c r="I209" t="s">
        <v>17</v>
      </c>
      <c r="J209" t="s">
        <v>18</v>
      </c>
      <c r="K209" t="s">
        <v>624</v>
      </c>
      <c r="L209" t="s">
        <v>625</v>
      </c>
    </row>
    <row hidden="1" r="210" s="1" spans="1:12">
      <c r="A210" s="4" t="n">
        <v>43121</v>
      </c>
      <c r="B210" t="s">
        <v>405</v>
      </c>
      <c r="C210" t="s">
        <v>406</v>
      </c>
      <c r="D210" t="s">
        <v>14</v>
      </c>
      <c r="E210" t="s">
        <v>15</v>
      </c>
      <c r="F210" t="s">
        <v>16</v>
      </c>
      <c r="G210" t="s">
        <v>409</v>
      </c>
      <c r="I210" t="s">
        <v>17</v>
      </c>
      <c r="J210" t="s">
        <v>18</v>
      </c>
      <c r="K210" t="s">
        <v>410</v>
      </c>
      <c r="L210" t="s">
        <v>411</v>
      </c>
    </row>
    <row hidden="1" r="211" s="1" spans="1:12">
      <c r="A211" s="4" t="n">
        <v>43121</v>
      </c>
      <c r="B211" t="s">
        <v>132</v>
      </c>
      <c r="C211" t="s">
        <v>93</v>
      </c>
      <c r="D211" t="s">
        <v>22</v>
      </c>
      <c r="E211" t="s">
        <v>15</v>
      </c>
      <c r="F211" t="s">
        <v>28</v>
      </c>
      <c r="G211" t="s">
        <v>133</v>
      </c>
      <c r="I211" t="s">
        <v>17</v>
      </c>
      <c r="J211" t="s">
        <v>18</v>
      </c>
      <c r="K211" t="s">
        <v>134</v>
      </c>
      <c r="L211" t="s">
        <v>135</v>
      </c>
    </row>
    <row hidden="1" r="212" s="1" spans="1:12">
      <c r="A212" s="4" t="n">
        <v>43121</v>
      </c>
      <c r="B212" t="s">
        <v>283</v>
      </c>
      <c r="C212" t="s">
        <v>284</v>
      </c>
      <c r="D212" t="s">
        <v>14</v>
      </c>
      <c r="E212" t="s">
        <v>15</v>
      </c>
      <c r="F212" t="s">
        <v>16</v>
      </c>
      <c r="G212" t="s">
        <v>283</v>
      </c>
      <c r="I212" t="s">
        <v>17</v>
      </c>
      <c r="J212" t="s">
        <v>18</v>
      </c>
      <c r="K212" t="s">
        <v>285</v>
      </c>
      <c r="L212" t="s">
        <v>626</v>
      </c>
    </row>
    <row hidden="1" r="213" s="1" spans="1:12">
      <c r="A213" s="4" t="n">
        <v>43121</v>
      </c>
      <c r="B213" t="s">
        <v>627</v>
      </c>
      <c r="C213" t="s">
        <v>80</v>
      </c>
      <c r="D213" t="s">
        <v>14</v>
      </c>
      <c r="E213" t="s">
        <v>15</v>
      </c>
      <c r="F213" t="s">
        <v>16</v>
      </c>
      <c r="G213" t="s">
        <v>627</v>
      </c>
      <c r="I213" t="s">
        <v>17</v>
      </c>
      <c r="J213" t="s">
        <v>18</v>
      </c>
      <c r="K213" t="s">
        <v>628</v>
      </c>
      <c r="L213" t="s">
        <v>629</v>
      </c>
    </row>
    <row hidden="1" r="214" s="1" spans="1:12">
      <c r="A214" s="4" t="n">
        <v>43121</v>
      </c>
      <c r="B214" t="s">
        <v>365</v>
      </c>
      <c r="C214" t="s">
        <v>366</v>
      </c>
      <c r="D214" t="s">
        <v>14</v>
      </c>
      <c r="E214" t="s">
        <v>15</v>
      </c>
      <c r="F214" t="s">
        <v>16</v>
      </c>
      <c r="G214" t="s">
        <v>365</v>
      </c>
      <c r="I214" t="s">
        <v>17</v>
      </c>
      <c r="J214" t="s">
        <v>18</v>
      </c>
      <c r="K214" t="s">
        <v>367</v>
      </c>
      <c r="L214" t="s">
        <v>630</v>
      </c>
    </row>
    <row hidden="1" r="215" s="1" spans="1:12">
      <c r="A215" s="4" t="n">
        <v>43121</v>
      </c>
      <c r="B215" t="s">
        <v>317</v>
      </c>
      <c r="C215" t="s">
        <v>45</v>
      </c>
      <c r="D215" t="s">
        <v>14</v>
      </c>
      <c r="E215" t="s">
        <v>15</v>
      </c>
      <c r="F215" t="s">
        <v>52</v>
      </c>
      <c r="G215" t="s">
        <v>631</v>
      </c>
      <c r="I215" t="s">
        <v>17</v>
      </c>
      <c r="J215" t="s">
        <v>18</v>
      </c>
      <c r="K215" t="s">
        <v>632</v>
      </c>
      <c r="L215" t="s">
        <v>633</v>
      </c>
    </row>
    <row hidden="1" r="216" s="1" spans="1:12">
      <c r="A216" s="4" t="n">
        <v>43121</v>
      </c>
      <c r="B216" t="s">
        <v>634</v>
      </c>
      <c r="C216" t="s">
        <v>635</v>
      </c>
      <c r="D216" t="s">
        <v>22</v>
      </c>
      <c r="E216" t="s">
        <v>15</v>
      </c>
      <c r="F216" t="s">
        <v>34</v>
      </c>
      <c r="G216" t="s">
        <v>636</v>
      </c>
      <c r="I216" t="s">
        <v>17</v>
      </c>
      <c r="J216" t="s">
        <v>18</v>
      </c>
      <c r="K216" t="s">
        <v>637</v>
      </c>
      <c r="L216" t="s">
        <v>638</v>
      </c>
    </row>
    <row hidden="1" r="217" s="1" spans="1:12">
      <c r="A217" s="4" t="n">
        <v>43121</v>
      </c>
      <c r="B217" t="s">
        <v>354</v>
      </c>
      <c r="C217" t="s">
        <v>50</v>
      </c>
      <c r="D217" t="s">
        <v>14</v>
      </c>
      <c r="E217" t="s">
        <v>15</v>
      </c>
      <c r="F217" t="s">
        <v>16</v>
      </c>
      <c r="G217" t="s">
        <v>639</v>
      </c>
      <c r="I217" t="s">
        <v>17</v>
      </c>
      <c r="J217" t="s">
        <v>18</v>
      </c>
      <c r="K217" t="s">
        <v>356</v>
      </c>
      <c r="L217" t="s">
        <v>640</v>
      </c>
    </row>
    <row hidden="1" r="218" s="1" spans="1:12">
      <c r="A218" s="4" t="n">
        <v>43121</v>
      </c>
      <c r="B218" t="s">
        <v>26</v>
      </c>
      <c r="C218" t="s">
        <v>27</v>
      </c>
      <c r="D218" t="s">
        <v>22</v>
      </c>
      <c r="E218" t="s">
        <v>15</v>
      </c>
      <c r="F218" t="s">
        <v>52</v>
      </c>
      <c r="G218" t="s">
        <v>641</v>
      </c>
      <c r="I218" t="s">
        <v>17</v>
      </c>
      <c r="J218" t="s">
        <v>18</v>
      </c>
      <c r="K218" t="s">
        <v>30</v>
      </c>
      <c r="L218" t="s">
        <v>642</v>
      </c>
    </row>
    <row hidden="1" r="219" s="1" spans="1:12">
      <c r="A219" s="4" t="n">
        <v>43121</v>
      </c>
      <c r="B219" t="s">
        <v>354</v>
      </c>
      <c r="C219" t="s">
        <v>50</v>
      </c>
      <c r="D219" t="s">
        <v>14</v>
      </c>
      <c r="E219" t="s">
        <v>15</v>
      </c>
      <c r="F219" t="s">
        <v>16</v>
      </c>
      <c r="G219" t="s">
        <v>643</v>
      </c>
      <c r="I219" t="s">
        <v>17</v>
      </c>
      <c r="J219" t="s">
        <v>18</v>
      </c>
      <c r="K219" t="s">
        <v>644</v>
      </c>
      <c r="L219" t="s">
        <v>645</v>
      </c>
    </row>
    <row hidden="1" r="220" s="1" spans="1:12">
      <c r="A220" s="4" t="n">
        <v>43121</v>
      </c>
      <c r="B220" t="s">
        <v>358</v>
      </c>
      <c r="C220" t="s">
        <v>359</v>
      </c>
      <c r="D220" t="s">
        <v>14</v>
      </c>
      <c r="E220" t="s">
        <v>15</v>
      </c>
      <c r="F220" t="s">
        <v>34</v>
      </c>
      <c r="G220" t="s">
        <v>646</v>
      </c>
      <c r="I220" t="s">
        <v>17</v>
      </c>
      <c r="J220" t="s">
        <v>18</v>
      </c>
      <c r="K220" t="s">
        <v>361</v>
      </c>
      <c r="L220" t="s">
        <v>647</v>
      </c>
    </row>
    <row hidden="1" r="221" s="1" spans="1:12">
      <c r="A221" s="4" t="n">
        <v>43121</v>
      </c>
      <c r="B221" t="s">
        <v>432</v>
      </c>
      <c r="C221" t="s">
        <v>433</v>
      </c>
      <c r="D221" t="s">
        <v>245</v>
      </c>
      <c r="E221" t="s">
        <v>15</v>
      </c>
      <c r="F221" t="s">
        <v>52</v>
      </c>
      <c r="G221" t="s">
        <v>648</v>
      </c>
      <c r="I221" t="s">
        <v>17</v>
      </c>
      <c r="J221" t="s">
        <v>18</v>
      </c>
      <c r="K221" t="s">
        <v>435</v>
      </c>
      <c r="L221" t="s">
        <v>649</v>
      </c>
    </row>
    <row hidden="1" r="222" s="1" spans="1:12">
      <c r="A222" s="4" t="n">
        <v>43121</v>
      </c>
      <c r="B222" t="s">
        <v>278</v>
      </c>
      <c r="C222" t="s">
        <v>279</v>
      </c>
      <c r="D222" t="s">
        <v>14</v>
      </c>
      <c r="E222" t="s">
        <v>15</v>
      </c>
      <c r="F222" t="s">
        <v>16</v>
      </c>
      <c r="G222" t="s">
        <v>650</v>
      </c>
      <c r="I222" t="s">
        <v>17</v>
      </c>
      <c r="J222" t="s">
        <v>18</v>
      </c>
      <c r="K222" t="s">
        <v>651</v>
      </c>
      <c r="L222" t="s">
        <v>652</v>
      </c>
    </row>
    <row hidden="1" r="223" s="1" spans="1:12">
      <c r="A223" s="4" t="n">
        <v>43121</v>
      </c>
      <c r="B223" t="s">
        <v>317</v>
      </c>
      <c r="C223" t="s">
        <v>45</v>
      </c>
      <c r="D223" t="s">
        <v>14</v>
      </c>
      <c r="E223" t="s">
        <v>15</v>
      </c>
      <c r="F223" t="s">
        <v>52</v>
      </c>
      <c r="G223" t="s">
        <v>653</v>
      </c>
      <c r="I223" t="s">
        <v>17</v>
      </c>
      <c r="J223" t="s">
        <v>18</v>
      </c>
      <c r="K223" t="s">
        <v>319</v>
      </c>
      <c r="L223" t="s">
        <v>654</v>
      </c>
    </row>
    <row hidden="1" r="224" s="1" spans="1:12">
      <c r="A224" s="4" t="n">
        <v>43121</v>
      </c>
      <c r="B224" t="s">
        <v>136</v>
      </c>
      <c r="C224" t="s">
        <v>137</v>
      </c>
      <c r="D224" t="s">
        <v>22</v>
      </c>
      <c r="E224" t="s">
        <v>15</v>
      </c>
      <c r="F224" t="s">
        <v>16</v>
      </c>
      <c r="G224" t="s">
        <v>138</v>
      </c>
      <c r="I224" t="s">
        <v>17</v>
      </c>
      <c r="J224" t="s">
        <v>18</v>
      </c>
      <c r="K224" t="s">
        <v>139</v>
      </c>
      <c r="L224" t="s">
        <v>140</v>
      </c>
    </row>
    <row hidden="1" r="225" s="1" spans="1:12">
      <c r="A225" s="4" t="n">
        <v>43121</v>
      </c>
      <c r="B225" t="s">
        <v>287</v>
      </c>
      <c r="C225" t="s">
        <v>279</v>
      </c>
      <c r="D225" t="s">
        <v>14</v>
      </c>
      <c r="E225" t="s">
        <v>15</v>
      </c>
      <c r="F225" t="s">
        <v>16</v>
      </c>
      <c r="G225" t="s">
        <v>288</v>
      </c>
      <c r="I225" t="s">
        <v>17</v>
      </c>
      <c r="J225" t="s">
        <v>18</v>
      </c>
      <c r="K225" t="s">
        <v>289</v>
      </c>
      <c r="L225" t="s">
        <v>290</v>
      </c>
    </row>
    <row hidden="1" r="226" s="1" spans="1:12">
      <c r="A226" s="4" t="n">
        <v>43121</v>
      </c>
      <c r="B226" t="s">
        <v>497</v>
      </c>
      <c r="C226" t="s">
        <v>498</v>
      </c>
      <c r="D226" t="s">
        <v>245</v>
      </c>
      <c r="E226" t="s">
        <v>15</v>
      </c>
      <c r="F226" t="s">
        <v>52</v>
      </c>
      <c r="G226" t="s">
        <v>655</v>
      </c>
      <c r="I226" t="s">
        <v>17</v>
      </c>
      <c r="J226" t="s">
        <v>18</v>
      </c>
      <c r="K226" t="s">
        <v>500</v>
      </c>
      <c r="L226" t="s">
        <v>656</v>
      </c>
    </row>
    <row hidden="1" r="227" s="1" spans="1:12">
      <c r="A227" s="4" t="n">
        <v>43121</v>
      </c>
      <c r="B227" t="s">
        <v>657</v>
      </c>
      <c r="C227" t="s">
        <v>62</v>
      </c>
      <c r="D227" t="s">
        <v>245</v>
      </c>
      <c r="E227" t="s">
        <v>15</v>
      </c>
      <c r="F227" t="s">
        <v>16</v>
      </c>
      <c r="G227" t="s">
        <v>657</v>
      </c>
      <c r="I227" t="s">
        <v>17</v>
      </c>
      <c r="J227" t="s">
        <v>18</v>
      </c>
      <c r="K227" t="s">
        <v>658</v>
      </c>
      <c r="L227" t="s">
        <v>659</v>
      </c>
    </row>
    <row hidden="1" r="228" s="1" spans="1:12">
      <c r="A228" s="4" t="n">
        <v>43121</v>
      </c>
      <c r="B228" t="s">
        <v>26</v>
      </c>
      <c r="C228" t="s">
        <v>660</v>
      </c>
      <c r="D228" t="s">
        <v>22</v>
      </c>
      <c r="E228" t="s">
        <v>15</v>
      </c>
      <c r="F228" t="s">
        <v>52</v>
      </c>
      <c r="G228" t="s">
        <v>661</v>
      </c>
      <c r="I228" t="s">
        <v>17</v>
      </c>
      <c r="J228" t="s">
        <v>18</v>
      </c>
      <c r="K228" t="s">
        <v>662</v>
      </c>
      <c r="L228" t="s">
        <v>663</v>
      </c>
    </row>
    <row hidden="1" r="229" s="1" spans="1:12">
      <c r="A229" s="4" t="n">
        <v>43121</v>
      </c>
      <c r="B229" t="s">
        <v>317</v>
      </c>
      <c r="C229" t="s">
        <v>45</v>
      </c>
      <c r="D229" t="s">
        <v>14</v>
      </c>
      <c r="E229" t="s">
        <v>15</v>
      </c>
      <c r="F229" t="s">
        <v>52</v>
      </c>
      <c r="G229" t="s">
        <v>318</v>
      </c>
      <c r="I229" t="s">
        <v>17</v>
      </c>
      <c r="J229" t="s">
        <v>18</v>
      </c>
      <c r="K229" t="s">
        <v>319</v>
      </c>
      <c r="L229" t="s">
        <v>320</v>
      </c>
    </row>
    <row hidden="1" r="230" s="1" spans="1:12">
      <c r="A230" s="4" t="n">
        <v>43121</v>
      </c>
      <c r="B230" t="s">
        <v>590</v>
      </c>
      <c r="C230" t="s">
        <v>591</v>
      </c>
      <c r="D230" t="s">
        <v>245</v>
      </c>
      <c r="E230" t="s">
        <v>15</v>
      </c>
      <c r="F230" t="s">
        <v>52</v>
      </c>
      <c r="G230" t="s">
        <v>594</v>
      </c>
      <c r="I230" t="s">
        <v>17</v>
      </c>
      <c r="J230" t="s">
        <v>18</v>
      </c>
      <c r="K230" t="s">
        <v>595</v>
      </c>
      <c r="L230" t="s">
        <v>596</v>
      </c>
    </row>
    <row r="231" spans="1:12">
      <c r="A231" s="4" t="n">
        <v>43121</v>
      </c>
      <c r="B231" t="s">
        <v>664</v>
      </c>
      <c r="C231" t="s">
        <v>498</v>
      </c>
      <c r="D231" t="s">
        <v>245</v>
      </c>
      <c r="E231" t="s">
        <v>51</v>
      </c>
      <c r="F231" t="s">
        <v>52</v>
      </c>
      <c r="G231" t="s">
        <v>665</v>
      </c>
      <c r="I231" t="s">
        <v>17</v>
      </c>
      <c r="J231" t="s">
        <v>18</v>
      </c>
      <c r="K231" t="s">
        <v>666</v>
      </c>
      <c r="L231" t="s">
        <v>667</v>
      </c>
    </row>
    <row hidden="1" r="232" s="1" spans="1:12">
      <c r="A232" s="4" t="n">
        <v>43121</v>
      </c>
      <c r="B232" t="s">
        <v>668</v>
      </c>
      <c r="C232" t="s">
        <v>522</v>
      </c>
      <c r="D232" t="s">
        <v>22</v>
      </c>
      <c r="E232" t="s">
        <v>15</v>
      </c>
      <c r="F232" t="s">
        <v>16</v>
      </c>
      <c r="G232" t="s">
        <v>668</v>
      </c>
      <c r="I232" t="s">
        <v>17</v>
      </c>
      <c r="J232" t="s">
        <v>18</v>
      </c>
      <c r="K232" t="s">
        <v>669</v>
      </c>
      <c r="L232" t="s">
        <v>670</v>
      </c>
    </row>
    <row hidden="1" r="233" s="1" spans="1:12">
      <c r="A233" s="4" t="n">
        <v>43121</v>
      </c>
      <c r="B233" t="s">
        <v>174</v>
      </c>
      <c r="C233" t="s">
        <v>93</v>
      </c>
      <c r="D233" t="s">
        <v>22</v>
      </c>
      <c r="E233" t="s">
        <v>15</v>
      </c>
      <c r="F233" t="s">
        <v>28</v>
      </c>
      <c r="G233" t="s">
        <v>671</v>
      </c>
      <c r="I233" t="s">
        <v>17</v>
      </c>
      <c r="J233" t="s">
        <v>18</v>
      </c>
      <c r="K233" t="s">
        <v>176</v>
      </c>
      <c r="L233" t="s">
        <v>672</v>
      </c>
    </row>
    <row hidden="1" r="234" s="1" spans="1:12">
      <c r="A234" s="4" t="n">
        <v>43121</v>
      </c>
      <c r="B234" t="s">
        <v>174</v>
      </c>
      <c r="C234" t="s">
        <v>38</v>
      </c>
      <c r="D234" t="s">
        <v>22</v>
      </c>
      <c r="E234" t="s">
        <v>15</v>
      </c>
      <c r="F234" t="s">
        <v>28</v>
      </c>
      <c r="G234" t="s">
        <v>673</v>
      </c>
      <c r="I234" t="s">
        <v>17</v>
      </c>
      <c r="J234" t="s">
        <v>18</v>
      </c>
      <c r="K234" t="s">
        <v>179</v>
      </c>
      <c r="L234" t="s">
        <v>674</v>
      </c>
    </row>
    <row hidden="1" r="235" s="1" spans="1:12">
      <c r="A235" s="4" t="n">
        <v>43121</v>
      </c>
      <c r="B235" t="s">
        <v>174</v>
      </c>
      <c r="C235" t="s">
        <v>93</v>
      </c>
      <c r="D235" t="s">
        <v>22</v>
      </c>
      <c r="E235" t="s">
        <v>15</v>
      </c>
      <c r="F235" t="s">
        <v>28</v>
      </c>
      <c r="G235" t="s">
        <v>675</v>
      </c>
      <c r="I235" t="s">
        <v>17</v>
      </c>
      <c r="J235" t="s">
        <v>18</v>
      </c>
      <c r="K235" t="s">
        <v>188</v>
      </c>
      <c r="L235" t="s">
        <v>676</v>
      </c>
    </row>
    <row hidden="1" r="236" s="1" spans="1:12">
      <c r="A236" s="4" t="n">
        <v>43121</v>
      </c>
      <c r="B236" t="s">
        <v>71</v>
      </c>
      <c r="C236" t="s">
        <v>72</v>
      </c>
      <c r="D236" t="s">
        <v>22</v>
      </c>
      <c r="E236" t="s">
        <v>15</v>
      </c>
      <c r="F236" t="s">
        <v>52</v>
      </c>
      <c r="G236" t="s">
        <v>94</v>
      </c>
      <c r="I236" t="s">
        <v>17</v>
      </c>
      <c r="J236" t="s">
        <v>18</v>
      </c>
      <c r="K236" t="s">
        <v>95</v>
      </c>
      <c r="L236" t="s">
        <v>677</v>
      </c>
    </row>
    <row hidden="1" r="237" s="1" spans="1:12">
      <c r="A237" s="4" t="n">
        <v>43121</v>
      </c>
      <c r="B237" t="s">
        <v>497</v>
      </c>
      <c r="C237" t="s">
        <v>498</v>
      </c>
      <c r="D237" t="s">
        <v>245</v>
      </c>
      <c r="E237" t="s">
        <v>15</v>
      </c>
      <c r="F237" t="s">
        <v>52</v>
      </c>
      <c r="G237" t="s">
        <v>655</v>
      </c>
      <c r="I237" t="s">
        <v>17</v>
      </c>
      <c r="J237" t="s">
        <v>18</v>
      </c>
      <c r="K237" t="s">
        <v>500</v>
      </c>
      <c r="L237" t="s">
        <v>656</v>
      </c>
    </row>
    <row hidden="1" r="238" s="1" spans="1:12">
      <c r="A238" s="4" t="n">
        <v>43121</v>
      </c>
      <c r="B238" t="s">
        <v>564</v>
      </c>
      <c r="C238" t="s">
        <v>62</v>
      </c>
      <c r="D238" t="s">
        <v>245</v>
      </c>
      <c r="E238" t="s">
        <v>15</v>
      </c>
      <c r="F238" t="s">
        <v>34</v>
      </c>
      <c r="G238" t="s">
        <v>565</v>
      </c>
      <c r="I238" t="s">
        <v>17</v>
      </c>
      <c r="J238" t="s">
        <v>18</v>
      </c>
      <c r="K238" t="s">
        <v>566</v>
      </c>
      <c r="L238" t="s">
        <v>567</v>
      </c>
    </row>
    <row hidden="1" r="239" s="1" spans="1:12">
      <c r="A239" s="4" t="n">
        <v>43121</v>
      </c>
      <c r="B239" t="s">
        <v>678</v>
      </c>
      <c r="C239" t="s">
        <v>679</v>
      </c>
      <c r="D239" t="s">
        <v>22</v>
      </c>
      <c r="E239" t="s">
        <v>15</v>
      </c>
      <c r="F239" t="s">
        <v>28</v>
      </c>
      <c r="G239" t="s">
        <v>680</v>
      </c>
      <c r="I239" t="s">
        <v>17</v>
      </c>
      <c r="J239" t="s">
        <v>18</v>
      </c>
      <c r="K239" t="s">
        <v>681</v>
      </c>
      <c r="L239" t="s">
        <v>682</v>
      </c>
    </row>
    <row r="240" spans="1:12">
      <c r="A240" s="4" t="n">
        <v>43121</v>
      </c>
      <c r="B240" t="s">
        <v>683</v>
      </c>
      <c r="C240" t="s">
        <v>80</v>
      </c>
      <c r="D240" t="s">
        <v>14</v>
      </c>
      <c r="E240" t="s">
        <v>51</v>
      </c>
      <c r="F240" t="s">
        <v>52</v>
      </c>
      <c r="G240" t="s">
        <v>684</v>
      </c>
      <c r="I240" t="s">
        <v>17</v>
      </c>
      <c r="J240" t="s">
        <v>18</v>
      </c>
      <c r="K240" t="s">
        <v>685</v>
      </c>
      <c r="L240" t="s">
        <v>686</v>
      </c>
    </row>
    <row hidden="1" r="241" s="1" spans="1:12">
      <c r="A241" s="4" t="n">
        <v>43121</v>
      </c>
      <c r="B241" t="s">
        <v>174</v>
      </c>
      <c r="C241" t="s">
        <v>38</v>
      </c>
      <c r="D241" t="s">
        <v>22</v>
      </c>
      <c r="E241" t="s">
        <v>15</v>
      </c>
      <c r="F241" t="s">
        <v>52</v>
      </c>
      <c r="G241" t="s">
        <v>687</v>
      </c>
      <c r="I241" t="s">
        <v>17</v>
      </c>
      <c r="J241" t="s">
        <v>18</v>
      </c>
      <c r="K241" t="s">
        <v>179</v>
      </c>
      <c r="L241" t="s">
        <v>688</v>
      </c>
    </row>
    <row hidden="1" r="242" s="1" spans="1:12">
      <c r="A242" s="4" t="n">
        <v>43121</v>
      </c>
      <c r="B242" t="s">
        <v>174</v>
      </c>
      <c r="C242" t="s">
        <v>62</v>
      </c>
      <c r="D242" t="s">
        <v>22</v>
      </c>
      <c r="E242" t="s">
        <v>15</v>
      </c>
      <c r="F242" t="s">
        <v>52</v>
      </c>
      <c r="G242" t="s">
        <v>689</v>
      </c>
      <c r="I242" t="s">
        <v>17</v>
      </c>
      <c r="J242" t="s">
        <v>18</v>
      </c>
      <c r="K242" t="s">
        <v>176</v>
      </c>
      <c r="L242" t="s">
        <v>690</v>
      </c>
    </row>
    <row hidden="1" r="243" s="1" spans="1:12">
      <c r="A243" s="4" t="n">
        <v>43121</v>
      </c>
      <c r="B243" t="s">
        <v>405</v>
      </c>
      <c r="C243" t="s">
        <v>412</v>
      </c>
      <c r="D243" t="s">
        <v>14</v>
      </c>
      <c r="E243" t="s">
        <v>15</v>
      </c>
      <c r="F243" t="s">
        <v>16</v>
      </c>
      <c r="G243" t="s">
        <v>405</v>
      </c>
      <c r="I243" t="s">
        <v>17</v>
      </c>
      <c r="J243" t="s">
        <v>18</v>
      </c>
      <c r="K243" t="s">
        <v>691</v>
      </c>
      <c r="L243" t="s">
        <v>692</v>
      </c>
    </row>
    <row r="244" spans="1:12">
      <c r="A244" s="4" t="n">
        <v>43121</v>
      </c>
      <c r="B244" t="s">
        <v>382</v>
      </c>
      <c r="C244" t="s">
        <v>274</v>
      </c>
      <c r="D244" t="s">
        <v>14</v>
      </c>
      <c r="E244" t="s">
        <v>51</v>
      </c>
      <c r="F244" t="s">
        <v>34</v>
      </c>
      <c r="G244" t="s">
        <v>383</v>
      </c>
      <c r="I244" t="s">
        <v>17</v>
      </c>
      <c r="J244" t="s">
        <v>18</v>
      </c>
      <c r="K244" t="s">
        <v>384</v>
      </c>
      <c r="L244" t="s">
        <v>385</v>
      </c>
    </row>
    <row hidden="1" r="245" s="1" spans="1:12">
      <c r="A245" s="4" t="n">
        <v>43121</v>
      </c>
      <c r="B245" t="s">
        <v>693</v>
      </c>
      <c r="C245" t="s">
        <v>694</v>
      </c>
      <c r="D245" t="s">
        <v>22</v>
      </c>
      <c r="E245" t="s">
        <v>15</v>
      </c>
      <c r="F245" t="s">
        <v>16</v>
      </c>
      <c r="G245" t="s">
        <v>693</v>
      </c>
      <c r="I245" t="s">
        <v>17</v>
      </c>
      <c r="J245" t="s">
        <v>18</v>
      </c>
      <c r="K245" t="s">
        <v>695</v>
      </c>
      <c r="L245" t="s">
        <v>696</v>
      </c>
    </row>
    <row hidden="1" r="246" s="1" spans="1:12">
      <c r="A246" s="4" t="n">
        <v>43121</v>
      </c>
      <c r="B246" t="s">
        <v>697</v>
      </c>
      <c r="C246" t="s">
        <v>619</v>
      </c>
      <c r="D246" t="s">
        <v>22</v>
      </c>
      <c r="E246" t="s">
        <v>15</v>
      </c>
      <c r="F246" t="s">
        <v>16</v>
      </c>
      <c r="G246" t="s">
        <v>697</v>
      </c>
      <c r="I246" t="s">
        <v>17</v>
      </c>
      <c r="J246" t="s">
        <v>18</v>
      </c>
      <c r="K246" t="s">
        <v>698</v>
      </c>
      <c r="L246" t="s">
        <v>699</v>
      </c>
    </row>
    <row hidden="1" r="247" s="1" spans="1:12">
      <c r="A247" s="4" t="n">
        <v>43121</v>
      </c>
      <c r="B247" t="s">
        <v>109</v>
      </c>
      <c r="C247" t="s">
        <v>80</v>
      </c>
      <c r="D247" t="s">
        <v>22</v>
      </c>
      <c r="E247" t="s">
        <v>15</v>
      </c>
      <c r="F247" t="s">
        <v>16</v>
      </c>
      <c r="G247" t="s">
        <v>109</v>
      </c>
      <c r="I247" t="s">
        <v>17</v>
      </c>
      <c r="J247" t="s">
        <v>18</v>
      </c>
      <c r="K247" t="s">
        <v>110</v>
      </c>
      <c r="L247" t="s">
        <v>700</v>
      </c>
    </row>
    <row hidden="1" r="248" s="1" spans="1:12">
      <c r="A248" s="4" t="n">
        <v>43121</v>
      </c>
      <c r="B248" t="s">
        <v>701</v>
      </c>
      <c r="C248" t="s">
        <v>702</v>
      </c>
      <c r="D248" t="s">
        <v>22</v>
      </c>
      <c r="E248" t="s">
        <v>15</v>
      </c>
      <c r="F248" t="s">
        <v>34</v>
      </c>
      <c r="G248" t="s">
        <v>703</v>
      </c>
      <c r="I248" t="s">
        <v>17</v>
      </c>
      <c r="J248" t="s">
        <v>18</v>
      </c>
      <c r="K248" t="s">
        <v>704</v>
      </c>
      <c r="L248" t="s">
        <v>705</v>
      </c>
    </row>
    <row hidden="1" r="249" s="1" spans="1:12">
      <c r="A249" s="4" t="n">
        <v>43121</v>
      </c>
      <c r="B249" t="s">
        <v>308</v>
      </c>
      <c r="C249" t="s">
        <v>309</v>
      </c>
      <c r="D249" t="s">
        <v>14</v>
      </c>
      <c r="E249" t="s">
        <v>15</v>
      </c>
      <c r="F249" t="s">
        <v>16</v>
      </c>
      <c r="G249" t="s">
        <v>706</v>
      </c>
      <c r="I249" t="s">
        <v>17</v>
      </c>
      <c r="J249" t="s">
        <v>18</v>
      </c>
      <c r="K249" t="s">
        <v>311</v>
      </c>
      <c r="L249" t="s">
        <v>707</v>
      </c>
    </row>
    <row hidden="1" r="250" s="1" spans="1:12">
      <c r="A250" s="4" t="n">
        <v>43121</v>
      </c>
      <c r="B250" t="s">
        <v>283</v>
      </c>
      <c r="C250" t="s">
        <v>284</v>
      </c>
      <c r="D250" t="s">
        <v>14</v>
      </c>
      <c r="E250" t="s">
        <v>15</v>
      </c>
      <c r="F250" t="s">
        <v>16</v>
      </c>
      <c r="G250" t="s">
        <v>283</v>
      </c>
      <c r="I250" t="s">
        <v>17</v>
      </c>
      <c r="J250" t="s">
        <v>18</v>
      </c>
      <c r="K250" t="s">
        <v>285</v>
      </c>
      <c r="L250" t="s">
        <v>626</v>
      </c>
    </row>
    <row hidden="1" r="251" s="1" spans="1:12">
      <c r="A251" s="4" t="n">
        <v>43121</v>
      </c>
      <c r="B251" t="s">
        <v>386</v>
      </c>
      <c r="C251" t="s">
        <v>387</v>
      </c>
      <c r="D251" t="s">
        <v>14</v>
      </c>
      <c r="E251" t="s">
        <v>15</v>
      </c>
      <c r="F251" t="s">
        <v>52</v>
      </c>
      <c r="G251" t="s">
        <v>388</v>
      </c>
      <c r="I251" t="s">
        <v>17</v>
      </c>
      <c r="J251" t="s">
        <v>18</v>
      </c>
      <c r="K251" t="s">
        <v>389</v>
      </c>
      <c r="L251" t="s">
        <v>390</v>
      </c>
    </row>
    <row r="252" spans="1:12">
      <c r="A252" s="4" t="n">
        <v>43121</v>
      </c>
      <c r="B252" t="s">
        <v>708</v>
      </c>
      <c r="C252" t="s">
        <v>305</v>
      </c>
      <c r="D252" t="s">
        <v>22</v>
      </c>
      <c r="E252" t="s">
        <v>51</v>
      </c>
      <c r="F252" t="s">
        <v>16</v>
      </c>
      <c r="G252" t="s">
        <v>708</v>
      </c>
      <c r="I252" t="s">
        <v>17</v>
      </c>
      <c r="J252" t="s">
        <v>18</v>
      </c>
      <c r="K252" t="s">
        <v>709</v>
      </c>
      <c r="L252" t="s">
        <v>710</v>
      </c>
    </row>
    <row hidden="1" r="253" s="1" spans="1:12">
      <c r="A253" s="4" t="n">
        <v>43121</v>
      </c>
      <c r="B253" t="s">
        <v>358</v>
      </c>
      <c r="C253" t="s">
        <v>359</v>
      </c>
      <c r="D253" t="s">
        <v>14</v>
      </c>
      <c r="E253" t="s">
        <v>15</v>
      </c>
      <c r="F253" t="s">
        <v>52</v>
      </c>
      <c r="G253" t="s">
        <v>711</v>
      </c>
      <c r="I253" t="s">
        <v>17</v>
      </c>
      <c r="J253" t="s">
        <v>18</v>
      </c>
      <c r="K253" t="s">
        <v>361</v>
      </c>
      <c r="L253" t="s">
        <v>712</v>
      </c>
    </row>
    <row hidden="1" r="254" s="1" spans="1:12">
      <c r="A254" s="4" t="n">
        <v>43121</v>
      </c>
      <c r="B254" t="s">
        <v>26</v>
      </c>
      <c r="C254" t="s">
        <v>27</v>
      </c>
      <c r="D254" t="s">
        <v>22</v>
      </c>
      <c r="E254" t="s">
        <v>15</v>
      </c>
      <c r="F254" t="s">
        <v>28</v>
      </c>
      <c r="G254" t="s">
        <v>32</v>
      </c>
      <c r="I254" t="s">
        <v>17</v>
      </c>
      <c r="J254" t="s">
        <v>18</v>
      </c>
      <c r="K254" t="s">
        <v>30</v>
      </c>
      <c r="L254" t="s">
        <v>33</v>
      </c>
    </row>
    <row hidden="1" r="255" s="1" spans="1:12">
      <c r="A255" s="4" t="n">
        <v>43121</v>
      </c>
      <c r="B255" t="s">
        <v>585</v>
      </c>
      <c r="C255" t="s">
        <v>586</v>
      </c>
      <c r="D255" t="s">
        <v>245</v>
      </c>
      <c r="E255" t="s">
        <v>15</v>
      </c>
      <c r="F255" t="s">
        <v>16</v>
      </c>
      <c r="G255" t="s">
        <v>713</v>
      </c>
      <c r="I255" t="s">
        <v>17</v>
      </c>
      <c r="J255" t="s">
        <v>18</v>
      </c>
      <c r="K255" t="s">
        <v>588</v>
      </c>
      <c r="L255" t="s">
        <v>714</v>
      </c>
    </row>
    <row hidden="1" r="256" s="1" spans="1:12">
      <c r="A256" s="4" t="n">
        <v>43121</v>
      </c>
      <c r="B256" t="s">
        <v>493</v>
      </c>
      <c r="C256" t="s">
        <v>72</v>
      </c>
      <c r="D256" t="s">
        <v>245</v>
      </c>
      <c r="E256" t="s">
        <v>15</v>
      </c>
      <c r="F256" t="s">
        <v>52</v>
      </c>
      <c r="G256" t="s">
        <v>715</v>
      </c>
      <c r="I256" t="s">
        <v>17</v>
      </c>
      <c r="J256" t="s">
        <v>18</v>
      </c>
      <c r="K256" t="s">
        <v>495</v>
      </c>
      <c r="L256" t="s">
        <v>716</v>
      </c>
    </row>
    <row hidden="1" r="257" s="1" spans="1:12">
      <c r="A257" s="4" t="n">
        <v>43121</v>
      </c>
      <c r="B257" t="s">
        <v>553</v>
      </c>
      <c r="C257" t="s">
        <v>554</v>
      </c>
      <c r="D257" t="s">
        <v>245</v>
      </c>
      <c r="E257" t="s">
        <v>15</v>
      </c>
      <c r="F257" t="s">
        <v>16</v>
      </c>
      <c r="G257" t="s">
        <v>553</v>
      </c>
      <c r="I257" t="s">
        <v>17</v>
      </c>
      <c r="J257" t="s">
        <v>18</v>
      </c>
      <c r="K257" t="s">
        <v>559</v>
      </c>
      <c r="L257" t="s">
        <v>560</v>
      </c>
    </row>
    <row hidden="1" r="258" s="1" spans="1:12">
      <c r="A258" s="4" t="n">
        <v>43121</v>
      </c>
      <c r="B258" t="s">
        <v>230</v>
      </c>
      <c r="C258" t="s">
        <v>93</v>
      </c>
      <c r="D258" t="s">
        <v>22</v>
      </c>
      <c r="E258" t="s">
        <v>15</v>
      </c>
      <c r="F258" t="s">
        <v>34</v>
      </c>
      <c r="G258" t="s">
        <v>717</v>
      </c>
      <c r="I258" t="s">
        <v>17</v>
      </c>
      <c r="J258" t="s">
        <v>18</v>
      </c>
      <c r="K258" t="s">
        <v>235</v>
      </c>
      <c r="L258" t="s">
        <v>718</v>
      </c>
    </row>
    <row hidden="1" r="259" s="1" spans="1:12">
      <c r="A259" s="4" t="n">
        <v>43121</v>
      </c>
      <c r="B259" t="s">
        <v>719</v>
      </c>
      <c r="C259" t="s">
        <v>93</v>
      </c>
      <c r="D259" t="s">
        <v>22</v>
      </c>
      <c r="E259" t="s">
        <v>15</v>
      </c>
      <c r="F259" t="s">
        <v>34</v>
      </c>
      <c r="G259" t="s">
        <v>720</v>
      </c>
      <c r="I259" t="s">
        <v>17</v>
      </c>
      <c r="J259" t="s">
        <v>18</v>
      </c>
      <c r="K259" t="s">
        <v>721</v>
      </c>
      <c r="L259" t="s">
        <v>722</v>
      </c>
    </row>
    <row hidden="1" r="260" s="1" spans="1:12">
      <c r="A260" s="4" t="n">
        <v>43121</v>
      </c>
      <c r="B260" t="s">
        <v>213</v>
      </c>
      <c r="C260" t="s">
        <v>80</v>
      </c>
      <c r="D260" t="s">
        <v>22</v>
      </c>
      <c r="E260" t="s">
        <v>15</v>
      </c>
      <c r="F260" t="s">
        <v>16</v>
      </c>
      <c r="G260" t="s">
        <v>213</v>
      </c>
      <c r="I260" t="s">
        <v>17</v>
      </c>
      <c r="J260" t="s">
        <v>18</v>
      </c>
      <c r="K260" t="s">
        <v>723</v>
      </c>
      <c r="L260" t="s">
        <v>724</v>
      </c>
    </row>
    <row hidden="1" r="261" s="1" spans="1:12">
      <c r="A261" s="4" t="n">
        <v>43121</v>
      </c>
      <c r="B261" t="s">
        <v>725</v>
      </c>
      <c r="C261" t="s">
        <v>726</v>
      </c>
      <c r="D261" t="s">
        <v>22</v>
      </c>
      <c r="E261" t="s">
        <v>15</v>
      </c>
      <c r="F261" t="s">
        <v>52</v>
      </c>
      <c r="G261" t="s">
        <v>727</v>
      </c>
      <c r="I261" t="s">
        <v>17</v>
      </c>
      <c r="J261" t="s">
        <v>18</v>
      </c>
      <c r="K261" t="s">
        <v>728</v>
      </c>
      <c r="L261" t="s">
        <v>729</v>
      </c>
    </row>
    <row hidden="1" r="262" s="1" spans="1:12">
      <c r="A262" s="4" t="n">
        <v>43121</v>
      </c>
      <c r="B262" t="s">
        <v>730</v>
      </c>
      <c r="C262" t="s">
        <v>62</v>
      </c>
      <c r="D262" t="s">
        <v>22</v>
      </c>
      <c r="E262" t="s">
        <v>15</v>
      </c>
      <c r="F262" t="s">
        <v>16</v>
      </c>
      <c r="G262" t="s">
        <v>731</v>
      </c>
      <c r="I262" t="s">
        <v>17</v>
      </c>
      <c r="J262" t="s">
        <v>18</v>
      </c>
      <c r="K262" t="s">
        <v>732</v>
      </c>
      <c r="L262" t="s">
        <v>733</v>
      </c>
    </row>
    <row hidden="1" r="263" s="1" spans="1:12">
      <c r="A263" s="4" t="n">
        <v>43121</v>
      </c>
      <c r="B263" t="s">
        <v>493</v>
      </c>
      <c r="C263" t="s">
        <v>72</v>
      </c>
      <c r="D263" t="s">
        <v>245</v>
      </c>
      <c r="E263" t="s">
        <v>15</v>
      </c>
      <c r="F263" t="s">
        <v>28</v>
      </c>
      <c r="G263" t="s">
        <v>734</v>
      </c>
      <c r="I263" t="s">
        <v>17</v>
      </c>
      <c r="J263" t="s">
        <v>18</v>
      </c>
      <c r="K263" t="s">
        <v>495</v>
      </c>
      <c r="L263" t="s">
        <v>735</v>
      </c>
    </row>
    <row hidden="1" r="264" s="1" spans="1:12">
      <c r="A264" s="4" t="n">
        <v>43121</v>
      </c>
      <c r="B264" t="s">
        <v>332</v>
      </c>
      <c r="C264" t="s">
        <v>333</v>
      </c>
      <c r="D264" t="s">
        <v>14</v>
      </c>
      <c r="E264" t="s">
        <v>15</v>
      </c>
      <c r="F264" t="s">
        <v>28</v>
      </c>
      <c r="G264" t="s">
        <v>736</v>
      </c>
      <c r="I264" t="s">
        <v>17</v>
      </c>
      <c r="J264" t="s">
        <v>18</v>
      </c>
      <c r="K264" t="s">
        <v>340</v>
      </c>
      <c r="L264" t="s">
        <v>737</v>
      </c>
    </row>
    <row hidden="1" r="265" s="1" spans="1:12">
      <c r="A265" s="4" t="n">
        <v>43121</v>
      </c>
      <c r="B265" t="s">
        <v>142</v>
      </c>
      <c r="C265" t="s">
        <v>143</v>
      </c>
      <c r="D265" t="s">
        <v>22</v>
      </c>
      <c r="E265" t="s">
        <v>15</v>
      </c>
      <c r="F265" t="s">
        <v>52</v>
      </c>
      <c r="G265" t="s">
        <v>653</v>
      </c>
      <c r="I265" t="s">
        <v>17</v>
      </c>
      <c r="J265" t="s">
        <v>18</v>
      </c>
      <c r="K265" t="s">
        <v>145</v>
      </c>
      <c r="L265" t="s">
        <v>738</v>
      </c>
    </row>
    <row hidden="1" r="266" s="1" spans="1:12">
      <c r="A266" s="4" t="n">
        <v>43121</v>
      </c>
      <c r="B266" t="s">
        <v>365</v>
      </c>
      <c r="C266" t="s">
        <v>366</v>
      </c>
      <c r="D266" t="s">
        <v>14</v>
      </c>
      <c r="E266" t="s">
        <v>15</v>
      </c>
      <c r="F266" t="s">
        <v>28</v>
      </c>
      <c r="G266" t="s">
        <v>739</v>
      </c>
      <c r="I266" t="s">
        <v>17</v>
      </c>
      <c r="J266" t="s">
        <v>18</v>
      </c>
      <c r="K266" t="s">
        <v>740</v>
      </c>
      <c r="L266" t="s">
        <v>741</v>
      </c>
    </row>
    <row hidden="1" r="267" s="1" spans="1:12">
      <c r="A267" s="4" t="n">
        <v>43121</v>
      </c>
      <c r="B267" t="s">
        <v>742</v>
      </c>
      <c r="C267" t="s">
        <v>62</v>
      </c>
      <c r="D267" t="s">
        <v>245</v>
      </c>
      <c r="E267" t="s">
        <v>15</v>
      </c>
      <c r="F267" t="s">
        <v>16</v>
      </c>
      <c r="G267" t="s">
        <v>742</v>
      </c>
      <c r="I267" t="s">
        <v>17</v>
      </c>
      <c r="J267" t="s">
        <v>18</v>
      </c>
      <c r="K267" t="s">
        <v>743</v>
      </c>
      <c r="L267" t="s">
        <v>744</v>
      </c>
    </row>
    <row hidden="1" r="268" s="1" spans="1:12">
      <c r="A268" s="4" t="n">
        <v>43121</v>
      </c>
      <c r="B268" t="s">
        <v>657</v>
      </c>
      <c r="C268" t="s">
        <v>62</v>
      </c>
      <c r="D268" t="s">
        <v>245</v>
      </c>
      <c r="E268" t="s">
        <v>15</v>
      </c>
      <c r="F268" t="s">
        <v>16</v>
      </c>
      <c r="G268" t="s">
        <v>657</v>
      </c>
      <c r="I268" t="s">
        <v>17</v>
      </c>
      <c r="J268" t="s">
        <v>18</v>
      </c>
      <c r="K268" t="s">
        <v>658</v>
      </c>
      <c r="L268" t="s">
        <v>659</v>
      </c>
    </row>
    <row hidden="1" r="269" s="1" spans="1:12">
      <c r="A269" s="4" t="n">
        <v>43121</v>
      </c>
      <c r="B269" t="s">
        <v>745</v>
      </c>
      <c r="C269" t="s">
        <v>80</v>
      </c>
      <c r="D269" t="s">
        <v>22</v>
      </c>
      <c r="E269" t="s">
        <v>15</v>
      </c>
      <c r="F269" t="s">
        <v>16</v>
      </c>
      <c r="G269" t="s">
        <v>745</v>
      </c>
      <c r="I269" t="s">
        <v>17</v>
      </c>
      <c r="J269" t="s">
        <v>18</v>
      </c>
      <c r="K269" t="s">
        <v>746</v>
      </c>
      <c r="L269" t="s">
        <v>747</v>
      </c>
    </row>
    <row hidden="1" r="270" s="1" spans="1:12">
      <c r="A270" s="4" t="n">
        <v>43121</v>
      </c>
      <c r="B270" t="s">
        <v>365</v>
      </c>
      <c r="C270" t="s">
        <v>366</v>
      </c>
      <c r="D270" t="s">
        <v>14</v>
      </c>
      <c r="E270" t="s">
        <v>15</v>
      </c>
      <c r="F270" t="s">
        <v>34</v>
      </c>
      <c r="G270" t="s">
        <v>748</v>
      </c>
      <c r="I270" t="s">
        <v>17</v>
      </c>
      <c r="J270" t="s">
        <v>18</v>
      </c>
      <c r="K270" t="s">
        <v>740</v>
      </c>
      <c r="L270" t="s">
        <v>749</v>
      </c>
    </row>
    <row hidden="1" r="271" s="1" spans="1:12">
      <c r="A271" s="4" t="n">
        <v>43121</v>
      </c>
      <c r="B271" t="s">
        <v>750</v>
      </c>
      <c r="C271" t="s">
        <v>128</v>
      </c>
      <c r="D271" t="s">
        <v>22</v>
      </c>
      <c r="E271" t="s">
        <v>15</v>
      </c>
      <c r="F271" t="s">
        <v>16</v>
      </c>
      <c r="G271" t="s">
        <v>750</v>
      </c>
      <c r="I271" t="s">
        <v>17</v>
      </c>
      <c r="J271" t="s">
        <v>18</v>
      </c>
      <c r="K271" t="s">
        <v>751</v>
      </c>
      <c r="L271" t="s">
        <v>752</v>
      </c>
    </row>
    <row hidden="1" r="272" s="1" spans="1:12">
      <c r="A272" s="4" t="n">
        <v>43121</v>
      </c>
      <c r="B272" t="s">
        <v>753</v>
      </c>
      <c r="C272" t="s">
        <v>309</v>
      </c>
      <c r="D272" t="s">
        <v>22</v>
      </c>
      <c r="E272" t="s">
        <v>15</v>
      </c>
      <c r="F272" t="s">
        <v>16</v>
      </c>
      <c r="G272" t="s">
        <v>753</v>
      </c>
      <c r="I272" t="s">
        <v>17</v>
      </c>
      <c r="J272" t="s">
        <v>18</v>
      </c>
      <c r="K272" t="s">
        <v>754</v>
      </c>
      <c r="L272" t="s">
        <v>755</v>
      </c>
    </row>
    <row hidden="1" r="273" s="1" spans="1:12">
      <c r="A273" s="4" t="n">
        <v>43121</v>
      </c>
      <c r="B273" t="s">
        <v>164</v>
      </c>
      <c r="C273" t="s">
        <v>80</v>
      </c>
      <c r="D273" t="s">
        <v>22</v>
      </c>
      <c r="E273" t="s">
        <v>15</v>
      </c>
      <c r="F273" t="s">
        <v>28</v>
      </c>
      <c r="G273" t="s">
        <v>756</v>
      </c>
      <c r="H273">
        <f>HYPERLINK("https://www.jouwictvacature.nl/solliciteren?job=senior-java-developer-in-amsterdam--iot-java-ruby-c-soa-saas-bij-dexel", "Link")</f>
        <v/>
      </c>
      <c r="I273" t="s">
        <v>17</v>
      </c>
      <c r="J273" t="s">
        <v>18</v>
      </c>
      <c r="K273" t="s">
        <v>169</v>
      </c>
      <c r="L273" t="s">
        <v>757</v>
      </c>
    </row>
    <row hidden="1" r="274" s="1" spans="1:12">
      <c r="A274" s="4" t="n">
        <v>43121</v>
      </c>
      <c r="B274" t="s">
        <v>378</v>
      </c>
      <c r="C274" t="s">
        <v>309</v>
      </c>
      <c r="D274" t="s">
        <v>14</v>
      </c>
      <c r="E274" t="s">
        <v>15</v>
      </c>
      <c r="F274" t="s">
        <v>16</v>
      </c>
      <c r="G274" t="s">
        <v>758</v>
      </c>
      <c r="H274">
        <f>HYPERLINK("https://www.jouwictvacature.nl/solliciteren?job=stageopdracht-applicatie-ontwikkeling-bij-opensatisfaction", "Link")</f>
        <v/>
      </c>
      <c r="I274" t="s">
        <v>17</v>
      </c>
      <c r="J274" t="s">
        <v>18</v>
      </c>
      <c r="K274" t="s">
        <v>759</v>
      </c>
      <c r="L274" t="s">
        <v>760</v>
      </c>
    </row>
    <row hidden="1" r="275" s="1" spans="1:12">
      <c r="A275" s="4" t="n">
        <v>43121</v>
      </c>
      <c r="B275" t="s">
        <v>174</v>
      </c>
      <c r="C275" t="s">
        <v>93</v>
      </c>
      <c r="D275" t="s">
        <v>22</v>
      </c>
      <c r="E275" t="s">
        <v>15</v>
      </c>
      <c r="F275" t="s">
        <v>52</v>
      </c>
      <c r="G275" t="s">
        <v>761</v>
      </c>
      <c r="H275">
        <f>HYPERLINK("https://www.jouwictvacature.nl/solliciteren?job=medior-mobile-developer--ios-android-phonegap-objective-c-java-swift-b-4", "Link")</f>
        <v/>
      </c>
      <c r="I275" t="s">
        <v>17</v>
      </c>
      <c r="J275" t="s">
        <v>18</v>
      </c>
      <c r="K275" t="s">
        <v>188</v>
      </c>
      <c r="L275" t="s">
        <v>762</v>
      </c>
    </row>
    <row hidden="1" r="276" s="1" spans="1:12">
      <c r="A276" s="4" t="n">
        <v>43121</v>
      </c>
      <c r="B276" t="s">
        <v>71</v>
      </c>
      <c r="C276" t="s">
        <v>80</v>
      </c>
      <c r="D276" t="s">
        <v>22</v>
      </c>
      <c r="E276" t="s">
        <v>15</v>
      </c>
      <c r="F276" t="s">
        <v>52</v>
      </c>
      <c r="G276" t="s">
        <v>763</v>
      </c>
      <c r="H276">
        <f>HYPERLINK("https://www.jouwictvacature.nl/solliciteren?job=medior-agile-test-specialist-bij-bartosz-bij-bartosz-amsterdam", "Link")</f>
        <v/>
      </c>
      <c r="I276" t="s">
        <v>17</v>
      </c>
      <c r="J276" t="s">
        <v>18</v>
      </c>
      <c r="K276" t="s">
        <v>91</v>
      </c>
      <c r="L276" t="s">
        <v>764</v>
      </c>
    </row>
    <row r="277" spans="1:12">
      <c r="A277" s="4" t="n">
        <v>43121</v>
      </c>
      <c r="B277" t="s">
        <v>765</v>
      </c>
      <c r="C277" t="s">
        <v>766</v>
      </c>
      <c r="D277" t="s">
        <v>22</v>
      </c>
      <c r="E277" t="s">
        <v>51</v>
      </c>
      <c r="F277" t="s">
        <v>16</v>
      </c>
      <c r="G277" t="s">
        <v>765</v>
      </c>
      <c r="H277">
        <f>HYPERLINK("https://www.jouwictvacature.nl/solliciteren?job=software-engineer-java-javascript-2", "Link")</f>
        <v/>
      </c>
      <c r="I277" t="s">
        <v>17</v>
      </c>
      <c r="J277" t="s">
        <v>18</v>
      </c>
      <c r="K277" t="s">
        <v>767</v>
      </c>
      <c r="L277" t="s">
        <v>768</v>
      </c>
    </row>
    <row r="278" spans="1:12">
      <c r="A278" s="4" t="n">
        <v>43121</v>
      </c>
      <c r="B278" t="s">
        <v>532</v>
      </c>
      <c r="C278" t="s">
        <v>80</v>
      </c>
      <c r="D278" t="s">
        <v>245</v>
      </c>
      <c r="E278" t="s">
        <v>51</v>
      </c>
      <c r="F278" t="s">
        <v>28</v>
      </c>
      <c r="G278" t="s">
        <v>769</v>
      </c>
      <c r="H278">
        <f>HYPERLINK("https://www.jouwictvacature.nl/solliciteren?job=senior-machine-learning-developer--java-spring-boot-hibernate-tensorfl", "Link")</f>
        <v/>
      </c>
      <c r="I278" t="s">
        <v>17</v>
      </c>
      <c r="J278" t="s">
        <v>18</v>
      </c>
      <c r="K278" t="s">
        <v>542</v>
      </c>
      <c r="L278" t="s">
        <v>770</v>
      </c>
    </row>
    <row hidden="1" r="279" s="1" spans="1:12">
      <c r="A279" s="4" t="n">
        <v>43121</v>
      </c>
      <c r="B279" t="s">
        <v>771</v>
      </c>
      <c r="C279" t="s">
        <v>137</v>
      </c>
      <c r="D279" t="s">
        <v>22</v>
      </c>
      <c r="E279" t="s">
        <v>15</v>
      </c>
      <c r="F279" t="s">
        <v>16</v>
      </c>
      <c r="G279" t="s">
        <v>771</v>
      </c>
      <c r="H279">
        <f>HYPERLINK("https://www.jouwictvacature.nl/solliciteren?job=software-developer-bij-bgenius-in-groningen", "Link")</f>
        <v/>
      </c>
      <c r="I279" t="s">
        <v>17</v>
      </c>
      <c r="J279" t="s">
        <v>18</v>
      </c>
      <c r="K279" t="s">
        <v>772</v>
      </c>
      <c r="L279" t="s">
        <v>773</v>
      </c>
    </row>
    <row hidden="1" r="280" s="1" spans="1:12">
      <c r="A280" s="4" t="n">
        <v>43121</v>
      </c>
      <c r="B280" t="s">
        <v>174</v>
      </c>
      <c r="C280" t="s">
        <v>38</v>
      </c>
      <c r="D280" t="s">
        <v>22</v>
      </c>
      <c r="E280" t="s">
        <v>15</v>
      </c>
      <c r="F280" t="s">
        <v>52</v>
      </c>
      <c r="G280" t="s">
        <v>774</v>
      </c>
      <c r="H280">
        <f>HYPERLINK("https://www.jouwictvacature.nl/solliciteren?job=medior-java-full-stack-developer--ios-phonegap-objective-c-swift-bij-d-3", "Link")</f>
        <v/>
      </c>
      <c r="I280" t="s">
        <v>17</v>
      </c>
      <c r="J280" t="s">
        <v>18</v>
      </c>
      <c r="K280" t="s">
        <v>176</v>
      </c>
      <c r="L280" t="s">
        <v>775</v>
      </c>
    </row>
    <row hidden="1" r="281" s="1" spans="1:12">
      <c r="A281" s="4" t="n">
        <v>43121</v>
      </c>
      <c r="B281" t="s">
        <v>450</v>
      </c>
      <c r="C281" t="s">
        <v>451</v>
      </c>
      <c r="D281" t="s">
        <v>245</v>
      </c>
      <c r="E281" t="s">
        <v>15</v>
      </c>
      <c r="F281" t="s">
        <v>52</v>
      </c>
      <c r="G281" t="s">
        <v>776</v>
      </c>
      <c r="H281">
        <f>HYPERLINK("https://www.jouwictvacature.nl/solliciteren?job=medior-java-developer-bij-sofico-bij-sofico", "Link")</f>
        <v/>
      </c>
      <c r="I281" t="s">
        <v>17</v>
      </c>
      <c r="J281" t="s">
        <v>18</v>
      </c>
      <c r="K281" t="s">
        <v>777</v>
      </c>
      <c r="L281" t="s">
        <v>778</v>
      </c>
    </row>
    <row hidden="1" r="282" s="1" spans="1:12">
      <c r="A282" s="4" t="n">
        <v>43121</v>
      </c>
      <c r="B282" t="s">
        <v>174</v>
      </c>
      <c r="C282" t="s">
        <v>80</v>
      </c>
      <c r="D282" t="s">
        <v>22</v>
      </c>
      <c r="E282" t="s">
        <v>15</v>
      </c>
      <c r="F282" t="s">
        <v>52</v>
      </c>
      <c r="G282" t="s">
        <v>689</v>
      </c>
      <c r="H282">
        <f>HYPERLINK("https://www.jouwictvacature.nl/solliciteren?job=medior-java-developer--spring-grails-wicket-javascript-scala-bij-dpa-g", "Link")</f>
        <v/>
      </c>
      <c r="I282" t="s">
        <v>17</v>
      </c>
      <c r="J282" t="s">
        <v>18</v>
      </c>
      <c r="K282" t="s">
        <v>176</v>
      </c>
      <c r="L282" t="s">
        <v>779</v>
      </c>
    </row>
    <row hidden="1" r="283" s="1" spans="1:12">
      <c r="A283" s="4" t="n">
        <v>43121</v>
      </c>
      <c r="B283" t="s">
        <v>109</v>
      </c>
      <c r="C283" t="s">
        <v>80</v>
      </c>
      <c r="D283" t="s">
        <v>22</v>
      </c>
      <c r="E283" t="s">
        <v>15</v>
      </c>
      <c r="F283" t="s">
        <v>16</v>
      </c>
      <c r="G283" t="s">
        <v>109</v>
      </c>
      <c r="H283">
        <f>HYPERLINK("https://www.jouwictvacature.nl/solliciteren?job=senior-net-developer-bij-bloemert--cnet-aspnet-mvc-javascript", "Link")</f>
        <v/>
      </c>
      <c r="I283" t="s">
        <v>17</v>
      </c>
      <c r="J283" t="s">
        <v>18</v>
      </c>
      <c r="K283" t="s">
        <v>110</v>
      </c>
      <c r="L283" t="s">
        <v>111</v>
      </c>
    </row>
    <row hidden="1" r="284" s="1" spans="1:12">
      <c r="A284" s="4" t="n">
        <v>43121</v>
      </c>
      <c r="B284" t="s">
        <v>257</v>
      </c>
      <c r="C284" t="s">
        <v>13</v>
      </c>
      <c r="D284" t="s">
        <v>14</v>
      </c>
      <c r="E284" t="s">
        <v>15</v>
      </c>
      <c r="F284" t="s">
        <v>52</v>
      </c>
      <c r="G284" t="s">
        <v>266</v>
      </c>
      <c r="H284">
        <f>HYPERLINK("https://www.jouwictvacature.nl/solliciteren?job=medior-net-developer-met-ambitie-om-snel-te-groeien-tot-lead-developer", "Link")</f>
        <v/>
      </c>
      <c r="I284" t="s">
        <v>17</v>
      </c>
      <c r="J284" t="s">
        <v>18</v>
      </c>
      <c r="K284" t="s">
        <v>259</v>
      </c>
      <c r="L284" t="s">
        <v>267</v>
      </c>
    </row>
    <row hidden="1" r="285" s="1" spans="1:12">
      <c r="A285" s="4" t="n">
        <v>43121</v>
      </c>
      <c r="B285" t="s">
        <v>12</v>
      </c>
      <c r="C285" t="s">
        <v>21</v>
      </c>
      <c r="D285" t="s">
        <v>14</v>
      </c>
      <c r="E285" t="s">
        <v>15</v>
      </c>
      <c r="F285" t="s">
        <v>16</v>
      </c>
      <c r="G285" t="s">
        <v>12</v>
      </c>
      <c r="H285">
        <f>HYPERLINK("https://www.jouwictvacature.nl/solliciteren?job=medior-net-ontwikkelaar-bij-4dotnet-2", "Link")</f>
        <v/>
      </c>
      <c r="I285" t="s">
        <v>17</v>
      </c>
      <c r="J285" t="s">
        <v>18</v>
      </c>
      <c r="K285" t="s">
        <v>23</v>
      </c>
      <c r="L285" t="s">
        <v>24</v>
      </c>
    </row>
    <row hidden="1" r="286" s="1" spans="1:12">
      <c r="A286" s="4" t="n">
        <v>43121</v>
      </c>
      <c r="B286" t="s">
        <v>12</v>
      </c>
      <c r="C286" t="s">
        <v>13</v>
      </c>
      <c r="D286" t="s">
        <v>14</v>
      </c>
      <c r="E286" t="s">
        <v>15</v>
      </c>
      <c r="F286" t="s">
        <v>16</v>
      </c>
      <c r="G286" t="s">
        <v>12</v>
      </c>
      <c r="H286">
        <f>HYPERLINK("https://www.jouwictvacature.nl/solliciteren?job=medior-net-ontwikkelaar-bij-4dotnet", "Link")</f>
        <v/>
      </c>
      <c r="I286" t="s">
        <v>17</v>
      </c>
      <c r="J286" t="s">
        <v>18</v>
      </c>
      <c r="K286" t="s">
        <v>23</v>
      </c>
      <c r="L286" t="s">
        <v>780</v>
      </c>
    </row>
    <row hidden="1" r="287" s="1" spans="1:12">
      <c r="A287" s="4" t="n">
        <v>43121</v>
      </c>
      <c r="B287" t="s">
        <v>382</v>
      </c>
      <c r="C287" t="s">
        <v>274</v>
      </c>
      <c r="D287" t="s">
        <v>14</v>
      </c>
      <c r="E287" t="s">
        <v>15</v>
      </c>
      <c r="F287" t="s">
        <v>16</v>
      </c>
      <c r="G287" t="s">
        <v>382</v>
      </c>
      <c r="H287">
        <f>HYPERLINK("https://www.jouwictvacature.nl/solliciteren?job=junior-software-ontwikkelaar-bij-ortec", "Link")</f>
        <v/>
      </c>
      <c r="I287" t="s">
        <v>17</v>
      </c>
      <c r="J287" t="s">
        <v>18</v>
      </c>
      <c r="K287" t="s">
        <v>781</v>
      </c>
      <c r="L287" t="s">
        <v>782</v>
      </c>
    </row>
    <row hidden="1" r="288" s="1" spans="1:12">
      <c r="A288" s="4" t="n">
        <v>43121</v>
      </c>
      <c r="B288" t="s">
        <v>37</v>
      </c>
      <c r="C288" t="s">
        <v>38</v>
      </c>
      <c r="D288" t="s">
        <v>22</v>
      </c>
      <c r="E288" t="s">
        <v>15</v>
      </c>
      <c r="F288" t="s">
        <v>28</v>
      </c>
      <c r="G288" t="s">
        <v>42</v>
      </c>
      <c r="H288">
        <f>HYPERLINK("https://www.jouwictvacature.nl/solliciteren?job=senior-web-developer-bij-advitrae", "Link")</f>
        <v/>
      </c>
      <c r="I288" t="s">
        <v>17</v>
      </c>
      <c r="J288" t="s">
        <v>18</v>
      </c>
      <c r="K288" t="s">
        <v>40</v>
      </c>
      <c r="L288" t="s">
        <v>43</v>
      </c>
    </row>
    <row hidden="1" r="289" s="1" spans="1:12">
      <c r="A289" s="4" t="n">
        <v>43121</v>
      </c>
      <c r="B289" t="s">
        <v>104</v>
      </c>
      <c r="C289" t="s">
        <v>38</v>
      </c>
      <c r="D289" t="s">
        <v>22</v>
      </c>
      <c r="E289" t="s">
        <v>15</v>
      </c>
      <c r="F289" t="s">
        <v>16</v>
      </c>
      <c r="G289" t="s">
        <v>104</v>
      </c>
      <c r="H289">
        <f>HYPERLINK("https://www.jouwictvacature.nl/solliciteren?job=medior-softwareontwikkelaar-bij-betabit-regio-eindhoven", "Link")</f>
        <v/>
      </c>
      <c r="I289" t="s">
        <v>17</v>
      </c>
      <c r="J289" t="s">
        <v>18</v>
      </c>
      <c r="K289" t="s">
        <v>783</v>
      </c>
      <c r="L289" t="s">
        <v>784</v>
      </c>
    </row>
    <row hidden="1" r="290" s="1" spans="1:12">
      <c r="A290" s="4" t="n">
        <v>43121</v>
      </c>
      <c r="B290" t="s">
        <v>257</v>
      </c>
      <c r="C290" t="s">
        <v>13</v>
      </c>
      <c r="D290" t="s">
        <v>14</v>
      </c>
      <c r="E290" t="s">
        <v>15</v>
      </c>
      <c r="F290" t="s">
        <v>52</v>
      </c>
      <c r="G290" t="s">
        <v>261</v>
      </c>
      <c r="H290">
        <f>HYPERLINK("https://www.jouwictvacature.nl/solliciteren?job=mediorsenior-net-developer-bij-infent", "Link")</f>
        <v/>
      </c>
      <c r="I290" t="s">
        <v>17</v>
      </c>
      <c r="J290" t="s">
        <v>18</v>
      </c>
      <c r="K290" t="s">
        <v>262</v>
      </c>
      <c r="L290" t="s">
        <v>263</v>
      </c>
    </row>
    <row hidden="1" r="291" s="1" spans="1:12">
      <c r="A291" s="4" t="n">
        <v>43121</v>
      </c>
      <c r="B291" t="s">
        <v>785</v>
      </c>
      <c r="C291" t="s">
        <v>522</v>
      </c>
      <c r="D291" t="s">
        <v>22</v>
      </c>
      <c r="E291" t="s">
        <v>15</v>
      </c>
      <c r="F291" t="s">
        <v>16</v>
      </c>
      <c r="G291" t="s">
        <v>785</v>
      </c>
      <c r="H291">
        <f>HYPERLINK("https://www.jouwictvacature.nl/solliciteren?job=software-engineer-integratie", "Link")</f>
        <v/>
      </c>
      <c r="I291" t="s">
        <v>17</v>
      </c>
      <c r="J291" t="s">
        <v>18</v>
      </c>
      <c r="K291" t="s">
        <v>786</v>
      </c>
      <c r="L291" t="s">
        <v>787</v>
      </c>
    </row>
    <row hidden="1" r="292" s="1" spans="1:12">
      <c r="A292" s="4" t="n">
        <v>43121</v>
      </c>
      <c r="B292" t="s">
        <v>308</v>
      </c>
      <c r="C292" t="s">
        <v>309</v>
      </c>
      <c r="D292" t="s">
        <v>14</v>
      </c>
      <c r="E292" t="s">
        <v>15</v>
      </c>
      <c r="F292" t="s">
        <v>34</v>
      </c>
      <c r="G292" t="s">
        <v>788</v>
      </c>
      <c r="H292">
        <f>HYPERLINK("https://www.jouwictvacature.nl/solliciteren?job=juniormediorsenior-cnet-engineer-met-affiniteit-voor-c", "Link")</f>
        <v/>
      </c>
      <c r="I292" t="s">
        <v>17</v>
      </c>
      <c r="J292" t="s">
        <v>18</v>
      </c>
      <c r="K292" t="s">
        <v>311</v>
      </c>
      <c r="L292" t="s">
        <v>789</v>
      </c>
    </row>
    <row hidden="1" r="293" s="1" spans="1:12">
      <c r="A293" s="4" t="n">
        <v>43121</v>
      </c>
      <c r="B293" t="s">
        <v>342</v>
      </c>
      <c r="C293" t="s">
        <v>309</v>
      </c>
      <c r="D293" t="s">
        <v>14</v>
      </c>
      <c r="E293" t="s">
        <v>15</v>
      </c>
      <c r="F293" t="s">
        <v>16</v>
      </c>
      <c r="G293" t="s">
        <v>790</v>
      </c>
      <c r="H293">
        <f>HYPERLINK("https://www.jouwictvacature.nl/solliciteren?job=magento-developer-bij-muntz", "Link")</f>
        <v/>
      </c>
      <c r="I293" t="s">
        <v>17</v>
      </c>
      <c r="J293" t="s">
        <v>18</v>
      </c>
      <c r="K293" t="s">
        <v>791</v>
      </c>
      <c r="L293" t="s">
        <v>792</v>
      </c>
    </row>
    <row hidden="1" r="294" s="1" spans="1:12">
      <c r="A294" s="4" t="n">
        <v>43121</v>
      </c>
      <c r="B294" t="s">
        <v>26</v>
      </c>
      <c r="C294" t="s">
        <v>27</v>
      </c>
      <c r="D294" t="s">
        <v>22</v>
      </c>
      <c r="E294" t="s">
        <v>15</v>
      </c>
      <c r="F294" t="s">
        <v>34</v>
      </c>
      <c r="G294" t="s">
        <v>793</v>
      </c>
      <c r="H294">
        <f>HYPERLINK("https://www.jouwictvacature.nl/solliciteren?job=junior-laravel-developer-bij-aan-zee-communicatie", "Link")</f>
        <v/>
      </c>
      <c r="I294" t="s">
        <v>17</v>
      </c>
      <c r="J294" t="s">
        <v>18</v>
      </c>
      <c r="K294" t="s">
        <v>30</v>
      </c>
      <c r="L294" t="s">
        <v>794</v>
      </c>
    </row>
    <row hidden="1" r="295" s="1" spans="1:12">
      <c r="A295" s="4" t="n">
        <v>43121</v>
      </c>
      <c r="B295" t="s">
        <v>795</v>
      </c>
      <c r="C295" t="s">
        <v>796</v>
      </c>
      <c r="D295" t="s">
        <v>22</v>
      </c>
      <c r="E295" t="s">
        <v>15</v>
      </c>
      <c r="F295" t="s">
        <v>52</v>
      </c>
      <c r="G295" t="s">
        <v>797</v>
      </c>
      <c r="H295">
        <f>HYPERLINK("https://www.jouwictvacature.nl/solliciteren?job=medior-webdeveloper--html-css-jquery-php-oop-mysql-wordpress", "Link")</f>
        <v/>
      </c>
      <c r="I295" t="s">
        <v>17</v>
      </c>
      <c r="J295" t="s">
        <v>18</v>
      </c>
      <c r="K295" t="s">
        <v>798</v>
      </c>
      <c r="L295" t="s">
        <v>799</v>
      </c>
    </row>
    <row hidden="1" r="296" s="1" spans="1:12">
      <c r="A296" s="4" t="n">
        <v>43121</v>
      </c>
      <c r="B296" t="s">
        <v>354</v>
      </c>
      <c r="C296" t="s">
        <v>50</v>
      </c>
      <c r="D296" t="s">
        <v>14</v>
      </c>
      <c r="E296" t="s">
        <v>15</v>
      </c>
      <c r="F296" t="s">
        <v>16</v>
      </c>
      <c r="G296" t="s">
        <v>800</v>
      </c>
      <c r="H296">
        <f>HYPERLINK("https://www.jouwictvacature.nl/solliciteren?job=e-commerce-developer", "Link")</f>
        <v/>
      </c>
      <c r="I296" t="s">
        <v>17</v>
      </c>
      <c r="J296" t="s">
        <v>18</v>
      </c>
      <c r="K296" t="s">
        <v>801</v>
      </c>
      <c r="L296" t="s">
        <v>802</v>
      </c>
    </row>
    <row hidden="1" r="297" s="1" spans="1:12">
      <c r="A297" s="4" t="n">
        <v>43121</v>
      </c>
      <c r="B297" t="s">
        <v>719</v>
      </c>
      <c r="C297" t="s">
        <v>93</v>
      </c>
      <c r="D297" t="s">
        <v>14</v>
      </c>
      <c r="E297" t="s">
        <v>15</v>
      </c>
      <c r="F297" t="s">
        <v>34</v>
      </c>
      <c r="G297" t="s">
        <v>803</v>
      </c>
      <c r="H297">
        <f>HYPERLINK("https://www.jouwictvacature.nl/solliciteren?job=junior-back-end-developer-bij-23g", "Link")</f>
        <v/>
      </c>
      <c r="I297" t="s">
        <v>17</v>
      </c>
      <c r="J297" t="s">
        <v>18</v>
      </c>
      <c r="K297" t="s">
        <v>721</v>
      </c>
      <c r="L297" t="s">
        <v>804</v>
      </c>
    </row>
    <row hidden="1" r="298" s="1" spans="1:12">
      <c r="A298" s="4" t="n">
        <v>43121</v>
      </c>
      <c r="B298" t="s">
        <v>805</v>
      </c>
      <c r="C298" t="s">
        <v>806</v>
      </c>
      <c r="D298" t="s">
        <v>245</v>
      </c>
      <c r="E298" t="s">
        <v>15</v>
      </c>
      <c r="F298" t="s">
        <v>16</v>
      </c>
      <c r="G298" t="s">
        <v>807</v>
      </c>
      <c r="H298">
        <f>HYPERLINK("https://www.jouwictvacature.nl/solliciteren?job=gedreven-php-developer-met-typo-3-kennis-2", "Link")</f>
        <v/>
      </c>
      <c r="I298" t="s">
        <v>17</v>
      </c>
      <c r="J298" t="s">
        <v>18</v>
      </c>
      <c r="K298" t="s">
        <v>808</v>
      </c>
      <c r="L298" t="s">
        <v>809</v>
      </c>
    </row>
    <row hidden="1" r="299" s="1" spans="1:12">
      <c r="A299" s="4" t="n">
        <v>43121</v>
      </c>
      <c r="B299" t="s">
        <v>342</v>
      </c>
      <c r="C299" t="s">
        <v>309</v>
      </c>
      <c r="D299" t="s">
        <v>14</v>
      </c>
      <c r="E299" t="s">
        <v>15</v>
      </c>
      <c r="F299" t="s">
        <v>52</v>
      </c>
      <c r="G299" t="s">
        <v>343</v>
      </c>
      <c r="H299">
        <f>HYPERLINK("https://www.jouwictvacature.nl/solliciteren?job=php-developer-bij-muntz", "Link")</f>
        <v/>
      </c>
      <c r="I299" t="s">
        <v>17</v>
      </c>
      <c r="J299" t="s">
        <v>18</v>
      </c>
      <c r="K299" t="s">
        <v>344</v>
      </c>
      <c r="L299" t="s">
        <v>345</v>
      </c>
    </row>
    <row hidden="1" r="300" s="1" spans="1:12">
      <c r="A300" s="4" t="n">
        <v>43121</v>
      </c>
      <c r="B300" t="s">
        <v>634</v>
      </c>
      <c r="C300" t="s">
        <v>635</v>
      </c>
      <c r="D300" t="s">
        <v>22</v>
      </c>
      <c r="E300" t="s">
        <v>15</v>
      </c>
      <c r="F300" t="s">
        <v>34</v>
      </c>
      <c r="G300" t="s">
        <v>810</v>
      </c>
      <c r="H300">
        <f>HYPERLINK("https://www.jouwictvacature.nl/solliciteren?job=junior-php-wordpress-developer-bij-bureau-vet", "Link")</f>
        <v/>
      </c>
      <c r="I300" t="s">
        <v>17</v>
      </c>
      <c r="J300" t="s">
        <v>18</v>
      </c>
      <c r="K300" t="s">
        <v>811</v>
      </c>
      <c r="L300" t="s">
        <v>812</v>
      </c>
    </row>
    <row hidden="1" r="301" s="1" spans="1:12">
      <c r="A301" s="4" t="n">
        <v>43121</v>
      </c>
      <c r="B301" t="s">
        <v>813</v>
      </c>
      <c r="C301" t="s">
        <v>309</v>
      </c>
      <c r="D301" t="s">
        <v>245</v>
      </c>
      <c r="E301" t="s">
        <v>15</v>
      </c>
      <c r="F301" t="s">
        <v>28</v>
      </c>
      <c r="G301" t="s">
        <v>814</v>
      </c>
      <c r="H301">
        <f>HYPERLINK("https://www.jouwictvacature.nl/solliciteren?job=senior-full-stack-ontwikkelaar-bij-telserv-bij-telserv", "Link")</f>
        <v/>
      </c>
      <c r="I301" t="s">
        <v>17</v>
      </c>
      <c r="J301" t="s">
        <v>18</v>
      </c>
      <c r="K301" t="s">
        <v>815</v>
      </c>
      <c r="L301" t="s">
        <v>816</v>
      </c>
    </row>
    <row hidden="1" r="302" s="1" spans="1:12">
      <c r="A302" s="4" t="n">
        <v>43121</v>
      </c>
      <c r="B302" t="s">
        <v>432</v>
      </c>
      <c r="C302" t="s">
        <v>433</v>
      </c>
      <c r="D302" t="s">
        <v>245</v>
      </c>
      <c r="E302" t="s">
        <v>15</v>
      </c>
      <c r="F302" t="s">
        <v>16</v>
      </c>
      <c r="G302" t="s">
        <v>434</v>
      </c>
      <c r="H302">
        <f>HYPERLINK("https://www.jouwictvacature.nl/solliciteren?job=medior-back-end-developer-regio-groningen-2", "Link")</f>
        <v/>
      </c>
      <c r="I302" t="s">
        <v>17</v>
      </c>
      <c r="J302" t="s">
        <v>18</v>
      </c>
      <c r="K302" t="s">
        <v>435</v>
      </c>
      <c r="L302" t="s">
        <v>436</v>
      </c>
    </row>
    <row hidden="1" r="303" s="1" spans="1:12">
      <c r="A303" s="4" t="n">
        <v>43121</v>
      </c>
      <c r="B303" t="s">
        <v>142</v>
      </c>
      <c r="C303" t="s">
        <v>143</v>
      </c>
      <c r="D303" t="s">
        <v>22</v>
      </c>
      <c r="E303" t="s">
        <v>15</v>
      </c>
      <c r="F303" t="s">
        <v>28</v>
      </c>
      <c r="G303" t="s">
        <v>144</v>
      </c>
      <c r="H303">
        <f>HYPERLINK("https://www.jouwictvacature.nl/solliciteren?job=senior-full-stack-developer-bij-coas", "Link")</f>
        <v/>
      </c>
      <c r="I303" t="s">
        <v>17</v>
      </c>
      <c r="J303" t="s">
        <v>18</v>
      </c>
      <c r="K303" t="s">
        <v>145</v>
      </c>
      <c r="L303" t="s">
        <v>146</v>
      </c>
    </row>
    <row hidden="1" r="304" s="1" spans="1:12">
      <c r="A304" s="4" t="n">
        <v>43121</v>
      </c>
      <c r="B304" t="s">
        <v>529</v>
      </c>
      <c r="C304" t="s">
        <v>76</v>
      </c>
      <c r="D304" t="s">
        <v>245</v>
      </c>
      <c r="E304" t="s">
        <v>15</v>
      </c>
      <c r="F304" t="s">
        <v>16</v>
      </c>
      <c r="G304" t="s">
        <v>529</v>
      </c>
      <c r="H304">
        <f>HYPERLINK("https://www.jouwictvacature.nl/solliciteren?job=medior-backend-javascript-developer-bij-tradecast", "Link")</f>
        <v/>
      </c>
      <c r="I304" t="s">
        <v>17</v>
      </c>
      <c r="J304" t="s">
        <v>18</v>
      </c>
      <c r="K304" t="s">
        <v>817</v>
      </c>
      <c r="L304" t="s">
        <v>818</v>
      </c>
    </row>
    <row hidden="1" r="305" s="1" spans="1:12">
      <c r="A305" s="4" t="n">
        <v>43121</v>
      </c>
      <c r="B305" t="s">
        <v>213</v>
      </c>
      <c r="C305" t="s">
        <v>80</v>
      </c>
      <c r="D305" t="s">
        <v>22</v>
      </c>
      <c r="E305" t="s">
        <v>15</v>
      </c>
      <c r="F305" t="s">
        <v>16</v>
      </c>
      <c r="G305" t="s">
        <v>213</v>
      </c>
      <c r="H305">
        <f>HYPERLINK("https://www.jouwictvacature.nl/solliciteren?job=technisch-projectmanager-bij-growing-minds", "Link")</f>
        <v/>
      </c>
      <c r="I305" t="s">
        <v>17</v>
      </c>
      <c r="J305" t="s">
        <v>18</v>
      </c>
      <c r="K305" t="s">
        <v>723</v>
      </c>
      <c r="L305" t="s">
        <v>724</v>
      </c>
    </row>
    <row hidden="1" r="306" s="1" spans="1:12">
      <c r="A306" s="4" t="n">
        <v>43121</v>
      </c>
      <c r="B306" t="s">
        <v>37</v>
      </c>
      <c r="C306" t="s">
        <v>38</v>
      </c>
      <c r="D306" t="s">
        <v>22</v>
      </c>
      <c r="E306" t="s">
        <v>15</v>
      </c>
      <c r="F306" t="s">
        <v>28</v>
      </c>
      <c r="G306" t="s">
        <v>39</v>
      </c>
      <c r="H306">
        <f>HYPERLINK("https://www.jouwictvacature.nl/solliciteren?job=senior-front-end-developer-bij-advitrae", "Link")</f>
        <v/>
      </c>
      <c r="I306" t="s">
        <v>17</v>
      </c>
      <c r="J306" t="s">
        <v>18</v>
      </c>
      <c r="K306" t="s">
        <v>40</v>
      </c>
      <c r="L306" t="s">
        <v>41</v>
      </c>
    </row>
    <row r="307" spans="1:12">
      <c r="A307" s="4" t="n">
        <v>43121</v>
      </c>
      <c r="B307" t="s">
        <v>664</v>
      </c>
      <c r="C307" t="s">
        <v>498</v>
      </c>
      <c r="D307" t="s">
        <v>245</v>
      </c>
      <c r="E307" t="s">
        <v>51</v>
      </c>
      <c r="F307" t="s">
        <v>52</v>
      </c>
      <c r="G307" t="s">
        <v>653</v>
      </c>
      <c r="H307">
        <f>HYPERLINK("https://www.jouwictvacature.nl/solliciteren?job=medior-javascript-developer-bij-we4sea", "Link")</f>
        <v/>
      </c>
      <c r="I307" t="s">
        <v>17</v>
      </c>
      <c r="J307" t="s">
        <v>18</v>
      </c>
      <c r="K307" t="s">
        <v>666</v>
      </c>
      <c r="L307" t="s">
        <v>819</v>
      </c>
    </row>
    <row hidden="1" r="308" s="1" spans="1:12">
      <c r="A308" s="4" t="n">
        <v>43121</v>
      </c>
      <c r="B308" t="s">
        <v>820</v>
      </c>
      <c r="C308" t="s">
        <v>13</v>
      </c>
      <c r="D308" t="s">
        <v>245</v>
      </c>
      <c r="E308" t="s">
        <v>15</v>
      </c>
      <c r="F308" t="s">
        <v>16</v>
      </c>
      <c r="G308" t="s">
        <v>820</v>
      </c>
      <c r="H308">
        <f>HYPERLINK("https://www.jouwictvacature.nl/solliciteren?job=medior-front-end-developer-bij-talmark", "Link")</f>
        <v/>
      </c>
      <c r="I308" t="s">
        <v>17</v>
      </c>
      <c r="J308" t="s">
        <v>18</v>
      </c>
      <c r="K308" t="s">
        <v>821</v>
      </c>
      <c r="L308" t="s">
        <v>822</v>
      </c>
    </row>
    <row hidden="1" r="309" s="1" spans="1:12">
      <c r="A309" s="4" t="n">
        <v>43121</v>
      </c>
      <c r="B309" t="s">
        <v>823</v>
      </c>
      <c r="C309" t="s">
        <v>806</v>
      </c>
      <c r="D309" t="s">
        <v>22</v>
      </c>
      <c r="E309" t="s">
        <v>15</v>
      </c>
      <c r="F309" t="s">
        <v>16</v>
      </c>
      <c r="G309" t="s">
        <v>823</v>
      </c>
      <c r="H309">
        <f>HYPERLINK("https://www.jouwictvacature.nl/solliciteren?job=javascript-developer-bij-appmachine-", "Link")</f>
        <v/>
      </c>
      <c r="I309" t="s">
        <v>17</v>
      </c>
      <c r="J309" t="s">
        <v>18</v>
      </c>
      <c r="K309" t="s">
        <v>824</v>
      </c>
      <c r="L309" t="s">
        <v>825</v>
      </c>
    </row>
    <row hidden="1" r="310" s="1" spans="1:12">
      <c r="A310" s="4" t="n">
        <v>43121</v>
      </c>
      <c r="B310" t="s">
        <v>358</v>
      </c>
      <c r="C310" t="s">
        <v>359</v>
      </c>
      <c r="D310" t="s">
        <v>14</v>
      </c>
      <c r="E310" t="s">
        <v>15</v>
      </c>
      <c r="F310" t="s">
        <v>52</v>
      </c>
      <c r="G310" t="s">
        <v>594</v>
      </c>
      <c r="H310">
        <f>HYPERLINK("https://www.jouwictvacature.nl/solliciteren?job=medior-fullstack-developer-bij-nobears", "Link")</f>
        <v/>
      </c>
      <c r="I310" t="s">
        <v>17</v>
      </c>
      <c r="J310" t="s">
        <v>18</v>
      </c>
      <c r="K310" t="s">
        <v>361</v>
      </c>
      <c r="L310" t="s">
        <v>826</v>
      </c>
    </row>
    <row hidden="1" r="311" s="1" spans="1:12">
      <c r="A311" s="4" t="n">
        <v>43121</v>
      </c>
      <c r="B311" t="s">
        <v>287</v>
      </c>
      <c r="C311" t="s">
        <v>279</v>
      </c>
      <c r="D311" t="s">
        <v>14</v>
      </c>
      <c r="E311" t="s">
        <v>15</v>
      </c>
      <c r="F311" t="s">
        <v>16</v>
      </c>
      <c r="G311" t="s">
        <v>827</v>
      </c>
      <c r="H311">
        <f>HYPERLINK("https://www.jouwictvacature.nl/solliciteren?job=word-jij-onze-nieuwe-senior-front-end-development-hero-", "Link")</f>
        <v/>
      </c>
      <c r="I311" t="s">
        <v>17</v>
      </c>
      <c r="J311" t="s">
        <v>18</v>
      </c>
      <c r="K311" t="s">
        <v>289</v>
      </c>
      <c r="L311" t="s">
        <v>828</v>
      </c>
    </row>
    <row hidden="1" r="312" s="1" spans="1:12">
      <c r="A312" s="4" t="n">
        <v>43121</v>
      </c>
      <c r="B312" t="s">
        <v>829</v>
      </c>
      <c r="C312" t="s">
        <v>279</v>
      </c>
      <c r="D312" t="s">
        <v>22</v>
      </c>
      <c r="E312" t="s">
        <v>15</v>
      </c>
      <c r="F312" t="s">
        <v>28</v>
      </c>
      <c r="G312" t="s">
        <v>830</v>
      </c>
      <c r="H312">
        <f>HYPERLINK("https://www.jouwictvacature.nl/solliciteren?job=senior-front-end-ontwikkelaar-bij-bigbridge", "Link")</f>
        <v/>
      </c>
      <c r="I312" t="s">
        <v>17</v>
      </c>
      <c r="J312" t="s">
        <v>18</v>
      </c>
      <c r="K312" t="s">
        <v>831</v>
      </c>
      <c r="L312" t="s">
        <v>832</v>
      </c>
    </row>
    <row hidden="1" r="313" s="1" spans="1:12">
      <c r="A313" s="4" t="n">
        <v>43122</v>
      </c>
      <c r="B313" t="s">
        <v>833</v>
      </c>
      <c r="C313" t="s">
        <v>834</v>
      </c>
      <c r="D313" t="s">
        <v>22</v>
      </c>
      <c r="E313" t="s">
        <v>15</v>
      </c>
      <c r="F313" t="s">
        <v>34</v>
      </c>
      <c r="G313" t="s">
        <v>519</v>
      </c>
      <c r="H313">
        <f>HYPERLINK("https://www.jouwictvacature.nl/solliciteren?job=junior-java-developer-", "Link")</f>
        <v/>
      </c>
      <c r="I313" t="s">
        <v>17</v>
      </c>
      <c r="J313" t="s">
        <v>18</v>
      </c>
      <c r="K313" t="s">
        <v>835</v>
      </c>
      <c r="L313" t="s">
        <v>836</v>
      </c>
    </row>
    <row hidden="1" r="314" s="1" spans="1:12">
      <c r="A314" s="4" t="n">
        <v>43122</v>
      </c>
      <c r="B314" t="s">
        <v>323</v>
      </c>
      <c r="C314" t="s">
        <v>62</v>
      </c>
      <c r="D314" t="s">
        <v>14</v>
      </c>
      <c r="E314" t="s">
        <v>15</v>
      </c>
      <c r="F314" t="s">
        <v>52</v>
      </c>
      <c r="G314" t="s">
        <v>837</v>
      </c>
      <c r="H314">
        <f>HYPERLINK("https://www.jouwictvacature.nl/solliciteren?job=medior-java-developer-bij-meddex-bij-meddex", "Link")</f>
        <v/>
      </c>
      <c r="I314" t="s">
        <v>17</v>
      </c>
      <c r="J314" t="s">
        <v>18</v>
      </c>
      <c r="K314" t="s">
        <v>838</v>
      </c>
      <c r="L314" t="s">
        <v>839</v>
      </c>
    </row>
    <row hidden="1" r="315" s="1" spans="1:12">
      <c r="A315" s="4" t="n">
        <v>43122</v>
      </c>
      <c r="B315" t="s">
        <v>174</v>
      </c>
      <c r="C315" t="s">
        <v>80</v>
      </c>
      <c r="D315" t="s">
        <v>22</v>
      </c>
      <c r="E315" t="s">
        <v>15</v>
      </c>
      <c r="F315" t="s">
        <v>28</v>
      </c>
      <c r="G315" t="s">
        <v>185</v>
      </c>
      <c r="H315">
        <f>HYPERLINK("https://www.jouwictvacature.nl/solliciteren?job=senior-java-full-stack-developer-bij-dpa-geos-bij-dpa-2", "Link")</f>
        <v/>
      </c>
      <c r="I315" t="s">
        <v>17</v>
      </c>
      <c r="J315" t="s">
        <v>18</v>
      </c>
      <c r="K315" t="s">
        <v>176</v>
      </c>
      <c r="L315" t="s">
        <v>840</v>
      </c>
    </row>
    <row hidden="1" r="316" s="1" spans="1:12">
      <c r="A316" s="4" t="n">
        <v>43122</v>
      </c>
      <c r="B316" t="s">
        <v>174</v>
      </c>
      <c r="C316" t="s">
        <v>38</v>
      </c>
      <c r="D316" t="s">
        <v>22</v>
      </c>
      <c r="E316" t="s">
        <v>15</v>
      </c>
      <c r="F316" t="s">
        <v>52</v>
      </c>
      <c r="G316" t="s">
        <v>175</v>
      </c>
      <c r="H316">
        <f>HYPERLINK("https://www.jouwictvacature.nl/solliciteren?job=medior-java-full-stack-developer-bij-dpa-geos-bij-dpa", "Link")</f>
        <v/>
      </c>
      <c r="I316" t="s">
        <v>17</v>
      </c>
      <c r="J316" t="s">
        <v>18</v>
      </c>
      <c r="K316" t="s">
        <v>176</v>
      </c>
      <c r="L316" t="s">
        <v>841</v>
      </c>
    </row>
    <row hidden="1" r="317" s="1" spans="1:12">
      <c r="A317" s="4" t="n">
        <v>43122</v>
      </c>
      <c r="B317" t="s">
        <v>174</v>
      </c>
      <c r="C317" t="s">
        <v>38</v>
      </c>
      <c r="D317" t="s">
        <v>22</v>
      </c>
      <c r="E317" t="s">
        <v>15</v>
      </c>
      <c r="F317" t="s">
        <v>28</v>
      </c>
      <c r="G317" t="s">
        <v>671</v>
      </c>
      <c r="H317">
        <f>HYPERLINK("https://www.jouwictvacature.nl/solliciteren?job=senior-java-full-stack-developer-bij-dpa-geos-bij-dpa-3", "Link")</f>
        <v/>
      </c>
      <c r="I317" t="s">
        <v>17</v>
      </c>
      <c r="J317" t="s">
        <v>18</v>
      </c>
      <c r="K317" t="s">
        <v>176</v>
      </c>
      <c r="L317" t="s">
        <v>842</v>
      </c>
    </row>
    <row hidden="1" r="318" s="1" spans="1:12">
      <c r="A318" s="4" t="n">
        <v>43122</v>
      </c>
      <c r="B318" t="s">
        <v>843</v>
      </c>
      <c r="C318" t="s">
        <v>45</v>
      </c>
      <c r="D318" t="s">
        <v>245</v>
      </c>
      <c r="E318" t="s">
        <v>15</v>
      </c>
      <c r="F318" t="s">
        <v>28</v>
      </c>
      <c r="G318" t="s">
        <v>844</v>
      </c>
      <c r="H318">
        <f>HYPERLINK("https://www.jouwictvacature.nl/solliciteren?job=junior-java-developer--spring-hibernate-gwt-maven-ant-jboss-ibm-websph", "Link")</f>
        <v/>
      </c>
      <c r="I318" t="s">
        <v>17</v>
      </c>
      <c r="J318" t="s">
        <v>18</v>
      </c>
      <c r="K318" t="s">
        <v>845</v>
      </c>
      <c r="L318" t="s">
        <v>846</v>
      </c>
    </row>
    <row hidden="1" r="319" s="1" spans="1:12">
      <c r="A319" s="4" t="n">
        <v>43122</v>
      </c>
      <c r="B319" t="s">
        <v>71</v>
      </c>
      <c r="C319" t="s">
        <v>72</v>
      </c>
      <c r="D319" t="s">
        <v>22</v>
      </c>
      <c r="E319" t="s">
        <v>15</v>
      </c>
      <c r="F319" t="s">
        <v>28</v>
      </c>
      <c r="G319" t="s">
        <v>99</v>
      </c>
      <c r="H319">
        <f>HYPERLINK("https://www.jouwictvacature.nl/solliciteren?job=senior-feedback-engineer--exploratory-testing-context-driven-testing-b-5", "Link")</f>
        <v/>
      </c>
      <c r="I319" t="s">
        <v>17</v>
      </c>
      <c r="J319" t="s">
        <v>18</v>
      </c>
      <c r="K319" t="s">
        <v>78</v>
      </c>
      <c r="L319" t="s">
        <v>847</v>
      </c>
    </row>
    <row hidden="1" r="320" s="1" spans="1:12">
      <c r="A320" s="4" t="n">
        <v>43122</v>
      </c>
      <c r="B320" t="s">
        <v>71</v>
      </c>
      <c r="C320" t="s">
        <v>76</v>
      </c>
      <c r="D320" t="s">
        <v>22</v>
      </c>
      <c r="E320" t="s">
        <v>15</v>
      </c>
      <c r="F320" t="s">
        <v>52</v>
      </c>
      <c r="G320" t="s">
        <v>848</v>
      </c>
      <c r="H320">
        <f>HYPERLINK("https://www.jouwictvacature.nl/solliciteren?job=medior-agile-test-specialist-bij-bartosz-bij-bartosz-zwolle", "Link")</f>
        <v/>
      </c>
      <c r="I320" t="s">
        <v>17</v>
      </c>
      <c r="J320" t="s">
        <v>18</v>
      </c>
      <c r="K320" t="s">
        <v>91</v>
      </c>
      <c r="L320" t="s">
        <v>849</v>
      </c>
    </row>
    <row hidden="1" r="321" s="1" spans="1:12">
      <c r="A321" s="4" t="n">
        <v>43122</v>
      </c>
      <c r="B321" t="s">
        <v>71</v>
      </c>
      <c r="C321" t="s">
        <v>76</v>
      </c>
      <c r="D321" t="s">
        <v>22</v>
      </c>
      <c r="E321" t="s">
        <v>15</v>
      </c>
      <c r="F321" t="s">
        <v>28</v>
      </c>
      <c r="G321" t="s">
        <v>84</v>
      </c>
      <c r="H321">
        <f>HYPERLINK("https://www.jouwictvacature.nl/solliciteren?job=senior-feedback-engineer-bij-bartosz-bij-bartosz-zwolle", "Link")</f>
        <v/>
      </c>
      <c r="I321" t="s">
        <v>17</v>
      </c>
      <c r="J321" t="s">
        <v>18</v>
      </c>
      <c r="K321" t="s">
        <v>78</v>
      </c>
      <c r="L321" t="s">
        <v>85</v>
      </c>
    </row>
    <row hidden="1" r="322" s="1" spans="1:12">
      <c r="A322" s="4" t="n">
        <v>43122</v>
      </c>
      <c r="B322" t="s">
        <v>115</v>
      </c>
      <c r="C322" t="s">
        <v>62</v>
      </c>
      <c r="D322" t="s">
        <v>22</v>
      </c>
      <c r="E322" t="s">
        <v>15</v>
      </c>
      <c r="F322" t="s">
        <v>28</v>
      </c>
      <c r="G322" t="s">
        <v>850</v>
      </c>
      <c r="H322">
        <f>HYPERLINK("https://www.jouwictvacature.nl/solliciteren?job=senior-java-developer-bij-bottomline-bij-bottomline", "Link")</f>
        <v/>
      </c>
      <c r="I322" t="s">
        <v>17</v>
      </c>
      <c r="J322" t="s">
        <v>18</v>
      </c>
      <c r="K322" t="s">
        <v>121</v>
      </c>
      <c r="L322" t="s">
        <v>851</v>
      </c>
    </row>
    <row hidden="1" r="323" s="1" spans="1:12">
      <c r="A323" s="4" t="n">
        <v>43122</v>
      </c>
      <c r="B323" t="s">
        <v>455</v>
      </c>
      <c r="C323" t="s">
        <v>456</v>
      </c>
      <c r="D323" t="s">
        <v>245</v>
      </c>
      <c r="E323" t="s">
        <v>15</v>
      </c>
      <c r="F323" t="s">
        <v>52</v>
      </c>
      <c r="G323" t="s">
        <v>852</v>
      </c>
      <c r="H323">
        <f>HYPERLINK("https://www.jouwictvacature.nl/solliciteren?job=microsoft-sharepoint-specialist-bij-sogeti-2", "Link")</f>
        <v/>
      </c>
      <c r="I323" t="s">
        <v>17</v>
      </c>
      <c r="J323" t="s">
        <v>18</v>
      </c>
      <c r="K323" t="s">
        <v>458</v>
      </c>
      <c r="L323" t="s">
        <v>853</v>
      </c>
    </row>
    <row hidden="1" r="324" s="1" spans="1:12">
      <c r="A324" s="4" t="n">
        <v>43122</v>
      </c>
      <c r="B324" t="s">
        <v>455</v>
      </c>
      <c r="C324" t="s">
        <v>309</v>
      </c>
      <c r="D324" t="s">
        <v>245</v>
      </c>
      <c r="E324" t="s">
        <v>15</v>
      </c>
      <c r="F324" t="s">
        <v>52</v>
      </c>
      <c r="G324" t="s">
        <v>854</v>
      </c>
      <c r="H324">
        <f>HYPERLINK("https://www.jouwictvacature.nl/solliciteren?job=net-engineer-bij-sogeti-3", "Link")</f>
        <v/>
      </c>
      <c r="I324" t="s">
        <v>17</v>
      </c>
      <c r="J324" t="s">
        <v>18</v>
      </c>
      <c r="K324" t="s">
        <v>466</v>
      </c>
      <c r="L324" t="s">
        <v>855</v>
      </c>
    </row>
    <row hidden="1" r="325" s="1" spans="1:12">
      <c r="A325" s="4" t="n">
        <v>43122</v>
      </c>
      <c r="B325" t="s">
        <v>856</v>
      </c>
      <c r="C325" t="s">
        <v>50</v>
      </c>
      <c r="D325" t="s">
        <v>22</v>
      </c>
      <c r="E325" t="s">
        <v>15</v>
      </c>
      <c r="F325" t="s">
        <v>16</v>
      </c>
      <c r="G325" t="s">
        <v>856</v>
      </c>
      <c r="H325">
        <f>HYPERLINK("https://www.jouwictvacature.nl/solliciteren?job=docent-informatica-bij-avans-hogeschool", "Link")</f>
        <v/>
      </c>
      <c r="I325" t="s">
        <v>17</v>
      </c>
      <c r="J325" t="s">
        <v>18</v>
      </c>
      <c r="K325" t="s">
        <v>857</v>
      </c>
      <c r="L325" t="s">
        <v>858</v>
      </c>
    </row>
    <row hidden="1" r="326" s="1" spans="1:12">
      <c r="A326" s="4" t="n">
        <v>43122</v>
      </c>
      <c r="B326" t="s">
        <v>455</v>
      </c>
      <c r="C326" t="s">
        <v>456</v>
      </c>
      <c r="D326" t="s">
        <v>245</v>
      </c>
      <c r="E326" t="s">
        <v>15</v>
      </c>
      <c r="F326" t="s">
        <v>52</v>
      </c>
      <c r="G326" t="s">
        <v>859</v>
      </c>
      <c r="H326">
        <f>HYPERLINK("https://www.jouwictvacature.nl/solliciteren?job=net-engineer-bij-sogeti", "Link")</f>
        <v/>
      </c>
      <c r="I326" t="s">
        <v>17</v>
      </c>
      <c r="J326" t="s">
        <v>18</v>
      </c>
      <c r="K326" t="s">
        <v>466</v>
      </c>
      <c r="L326" t="s">
        <v>860</v>
      </c>
    </row>
    <row hidden="1" r="327" s="1" spans="1:12">
      <c r="A327" s="4" t="n">
        <v>43122</v>
      </c>
      <c r="B327" t="s">
        <v>346</v>
      </c>
      <c r="C327" t="s">
        <v>80</v>
      </c>
      <c r="D327" t="s">
        <v>14</v>
      </c>
      <c r="E327" t="s">
        <v>15</v>
      </c>
      <c r="F327" t="s">
        <v>28</v>
      </c>
      <c r="G327" t="s">
        <v>347</v>
      </c>
      <c r="H327">
        <f>HYPERLINK("https://www.jouwictvacature.nl/solliciteren?job=senior-c-net-developer-bij-mwm2", "Link")</f>
        <v/>
      </c>
      <c r="I327" t="s">
        <v>17</v>
      </c>
      <c r="J327" t="s">
        <v>18</v>
      </c>
      <c r="K327" t="s">
        <v>348</v>
      </c>
      <c r="L327" t="s">
        <v>349</v>
      </c>
    </row>
    <row hidden="1" r="328" s="1" spans="1:12">
      <c r="A328" s="4" t="n">
        <v>43122</v>
      </c>
      <c r="B328" t="s">
        <v>455</v>
      </c>
      <c r="C328" t="s">
        <v>460</v>
      </c>
      <c r="D328" t="s">
        <v>245</v>
      </c>
      <c r="E328" t="s">
        <v>15</v>
      </c>
      <c r="F328" t="s">
        <v>28</v>
      </c>
      <c r="G328" t="s">
        <v>861</v>
      </c>
      <c r="H328">
        <f>HYPERLINK("https://www.jouwictvacature.nl/solliciteren?job=senior-net-engineer-bij-sogeti-7", "Link")</f>
        <v/>
      </c>
      <c r="I328" t="s">
        <v>17</v>
      </c>
      <c r="J328" t="s">
        <v>18</v>
      </c>
      <c r="K328" t="s">
        <v>466</v>
      </c>
      <c r="L328" t="s">
        <v>862</v>
      </c>
    </row>
    <row hidden="1" r="329" s="1" spans="1:12">
      <c r="A329" s="4" t="n">
        <v>43122</v>
      </c>
      <c r="B329" t="s">
        <v>251</v>
      </c>
      <c r="C329" t="s">
        <v>80</v>
      </c>
      <c r="D329" t="s">
        <v>14</v>
      </c>
      <c r="E329" t="s">
        <v>15</v>
      </c>
      <c r="F329" t="s">
        <v>28</v>
      </c>
      <c r="G329" t="s">
        <v>863</v>
      </c>
      <c r="H329">
        <f>HYPERLINK("https://www.jouwictvacature.nl/solliciteren?job=senior-enof-lead-net-developer-bij-icatt-in-hartje-amsterdam", "Link")</f>
        <v/>
      </c>
      <c r="I329" t="s">
        <v>17</v>
      </c>
      <c r="J329" t="s">
        <v>18</v>
      </c>
      <c r="K329" t="s">
        <v>624</v>
      </c>
      <c r="L329" t="s">
        <v>864</v>
      </c>
    </row>
    <row hidden="1" r="330" s="1" spans="1:12">
      <c r="A330" s="4" t="n">
        <v>43122</v>
      </c>
      <c r="B330" t="s">
        <v>865</v>
      </c>
      <c r="C330" t="s">
        <v>866</v>
      </c>
      <c r="D330" t="s">
        <v>245</v>
      </c>
      <c r="E330" t="s">
        <v>15</v>
      </c>
      <c r="F330" t="s">
        <v>16</v>
      </c>
      <c r="G330" t="s">
        <v>867</v>
      </c>
      <c r="H330">
        <f>HYPERLINK("https://www.jouwictvacature.nl/solliciteren?job=net-customizing-engineer", "Link")</f>
        <v/>
      </c>
      <c r="I330" t="s">
        <v>17</v>
      </c>
      <c r="J330" t="s">
        <v>18</v>
      </c>
      <c r="K330" t="s">
        <v>868</v>
      </c>
      <c r="L330" t="s">
        <v>869</v>
      </c>
    </row>
    <row hidden="1" r="331" s="1" spans="1:12">
      <c r="A331" s="4" t="n">
        <v>43122</v>
      </c>
      <c r="B331" t="s">
        <v>386</v>
      </c>
      <c r="C331" t="s">
        <v>387</v>
      </c>
      <c r="D331" t="s">
        <v>14</v>
      </c>
      <c r="E331" t="s">
        <v>15</v>
      </c>
      <c r="F331" t="s">
        <v>28</v>
      </c>
      <c r="G331" t="s">
        <v>870</v>
      </c>
      <c r="H331">
        <f>HYPERLINK("https://www.jouwictvacature.nl/solliciteren?job=senior-net-developer-bij-packs", "Link")</f>
        <v/>
      </c>
      <c r="I331" t="s">
        <v>17</v>
      </c>
      <c r="J331" t="s">
        <v>18</v>
      </c>
      <c r="K331" t="s">
        <v>389</v>
      </c>
      <c r="L331" t="s">
        <v>871</v>
      </c>
    </row>
    <row hidden="1" r="332" s="1" spans="1:12">
      <c r="A332" s="4" t="n">
        <v>43122</v>
      </c>
      <c r="B332" t="s">
        <v>132</v>
      </c>
      <c r="C332" t="s">
        <v>93</v>
      </c>
      <c r="D332" t="s">
        <v>22</v>
      </c>
      <c r="E332" t="s">
        <v>15</v>
      </c>
      <c r="F332" t="s">
        <v>16</v>
      </c>
      <c r="G332" t="s">
        <v>872</v>
      </c>
      <c r="H332">
        <f>HYPERLINK("https://www.jouwictvacature.nl/solliciteren?job=net-developer-bij-ce-fintech-bv-", "Link")</f>
        <v/>
      </c>
      <c r="I332" t="s">
        <v>17</v>
      </c>
      <c r="J332" t="s">
        <v>18</v>
      </c>
      <c r="K332" t="s">
        <v>873</v>
      </c>
      <c r="L332" t="s">
        <v>874</v>
      </c>
    </row>
    <row hidden="1" r="333" s="1" spans="1:12">
      <c r="A333" s="4" t="n">
        <v>43122</v>
      </c>
      <c r="B333" t="s">
        <v>805</v>
      </c>
      <c r="C333" t="s">
        <v>806</v>
      </c>
      <c r="D333" t="s">
        <v>245</v>
      </c>
      <c r="E333" t="s">
        <v>15</v>
      </c>
      <c r="F333" t="s">
        <v>16</v>
      </c>
      <c r="G333" t="s">
        <v>875</v>
      </c>
      <c r="H333">
        <f>HYPERLINK("https://www.jouwictvacature.nl/solliciteren?job=gedreven-php-developer-met-typo-3-kennis", "Link")</f>
        <v/>
      </c>
      <c r="I333" t="s">
        <v>17</v>
      </c>
      <c r="J333" t="s">
        <v>18</v>
      </c>
      <c r="K333" t="s">
        <v>876</v>
      </c>
      <c r="L333" t="s">
        <v>877</v>
      </c>
    </row>
    <row hidden="1" r="334" s="1" spans="1:12">
      <c r="A334" s="4" t="n">
        <v>43122</v>
      </c>
      <c r="B334" t="s">
        <v>878</v>
      </c>
      <c r="C334" t="s">
        <v>591</v>
      </c>
      <c r="D334" t="s">
        <v>22</v>
      </c>
      <c r="E334" t="s">
        <v>15</v>
      </c>
      <c r="F334" t="s">
        <v>52</v>
      </c>
      <c r="G334" t="s">
        <v>301</v>
      </c>
      <c r="H334">
        <f>HYPERLINK("https://www.jouwictvacature.nl/solliciteren?job=medior-php-developer-bij-divtag", "Link")</f>
        <v/>
      </c>
      <c r="I334" t="s">
        <v>17</v>
      </c>
      <c r="J334" t="s">
        <v>18</v>
      </c>
      <c r="K334" t="s">
        <v>879</v>
      </c>
      <c r="L334" t="s">
        <v>880</v>
      </c>
    </row>
    <row hidden="1" r="335" s="1" spans="1:12">
      <c r="A335" s="4" t="n">
        <v>43122</v>
      </c>
      <c r="B335" t="s">
        <v>365</v>
      </c>
      <c r="C335" t="s">
        <v>366</v>
      </c>
      <c r="D335" t="s">
        <v>14</v>
      </c>
      <c r="E335" t="s">
        <v>15</v>
      </c>
      <c r="F335" t="s">
        <v>16</v>
      </c>
      <c r="G335" t="s">
        <v>365</v>
      </c>
      <c r="H335">
        <f>HYPERLINK("https://www.jouwictvacature.nl/solliciteren?job=junior-programmeur-bij-not-on-paper", "Link")</f>
        <v/>
      </c>
      <c r="I335" t="s">
        <v>17</v>
      </c>
      <c r="J335" t="s">
        <v>18</v>
      </c>
      <c r="K335" t="s">
        <v>367</v>
      </c>
      <c r="L335" t="s">
        <v>630</v>
      </c>
    </row>
    <row hidden="1" r="336" s="1" spans="1:12">
      <c r="A336" s="4" t="n">
        <v>43122</v>
      </c>
      <c r="B336" t="s">
        <v>881</v>
      </c>
      <c r="C336" t="s">
        <v>428</v>
      </c>
      <c r="D336" t="s">
        <v>22</v>
      </c>
      <c r="E336" t="s">
        <v>15</v>
      </c>
      <c r="F336" t="s">
        <v>28</v>
      </c>
      <c r="G336" t="s">
        <v>882</v>
      </c>
      <c r="H336">
        <f>HYPERLINK("https://www.jouwictvacature.nl/solliciteren?job=senior-laravel-php-developer-bij-cepo", "Link")</f>
        <v/>
      </c>
      <c r="I336" t="s">
        <v>17</v>
      </c>
      <c r="J336" t="s">
        <v>18</v>
      </c>
      <c r="K336" t="s">
        <v>883</v>
      </c>
      <c r="L336" t="s">
        <v>884</v>
      </c>
    </row>
    <row hidden="1" r="337" s="1" spans="1:12">
      <c r="A337" s="4" t="n">
        <v>43122</v>
      </c>
      <c r="B337" t="s">
        <v>885</v>
      </c>
      <c r="C337" t="s">
        <v>76</v>
      </c>
      <c r="D337" t="s">
        <v>14</v>
      </c>
      <c r="E337" t="s">
        <v>15</v>
      </c>
      <c r="F337" t="s">
        <v>16</v>
      </c>
      <c r="G337" t="s">
        <v>886</v>
      </c>
      <c r="H337">
        <f>HYPERLINK("https://www.jouwictvacature.nl/solliciteren?job=gedreven-medior-backend-developer-2", "Link")</f>
        <v/>
      </c>
      <c r="I337" t="s">
        <v>17</v>
      </c>
      <c r="J337" t="s">
        <v>18</v>
      </c>
      <c r="K337" t="s">
        <v>887</v>
      </c>
      <c r="L337" t="s">
        <v>888</v>
      </c>
    </row>
    <row r="338" spans="1:12">
      <c r="A338" s="4" t="n">
        <v>43122</v>
      </c>
      <c r="B338" t="s">
        <v>889</v>
      </c>
      <c r="C338" t="s">
        <v>80</v>
      </c>
      <c r="D338" t="s">
        <v>14</v>
      </c>
      <c r="E338" t="s">
        <v>51</v>
      </c>
      <c r="F338" t="s">
        <v>34</v>
      </c>
      <c r="G338" t="s">
        <v>890</v>
      </c>
      <c r="H338">
        <f>HYPERLINK("https://www.jouwictvacature.nl/solliciteren?job=juniorphp-developer-bij-lightspeed-bij-lightspeed", "Link")</f>
        <v/>
      </c>
      <c r="I338" t="s">
        <v>17</v>
      </c>
      <c r="J338" t="s">
        <v>18</v>
      </c>
      <c r="K338" t="s">
        <v>891</v>
      </c>
      <c r="L338" t="s">
        <v>892</v>
      </c>
    </row>
    <row hidden="1" r="339" s="1" spans="1:12">
      <c r="A339" s="4" t="n">
        <v>43122</v>
      </c>
      <c r="B339" t="s">
        <v>795</v>
      </c>
      <c r="C339" t="s">
        <v>796</v>
      </c>
      <c r="D339" t="s">
        <v>14</v>
      </c>
      <c r="E339" t="s">
        <v>15</v>
      </c>
      <c r="F339" t="s">
        <v>28</v>
      </c>
      <c r="G339" t="s">
        <v>893</v>
      </c>
      <c r="H339">
        <f>HYPERLINK("https://www.jouwictvacature.nl/solliciteren?job=senior-webdeveloper--html-css-jquery-php-oop-mysql-wordpress-bij-csorb", "Link")</f>
        <v/>
      </c>
      <c r="I339" t="s">
        <v>17</v>
      </c>
      <c r="J339" t="s">
        <v>18</v>
      </c>
      <c r="K339" t="s">
        <v>798</v>
      </c>
      <c r="L339" t="s">
        <v>894</v>
      </c>
    </row>
    <row hidden="1" r="340" s="1" spans="1:12">
      <c r="A340" s="4" t="n">
        <v>43122</v>
      </c>
      <c r="B340" t="s">
        <v>813</v>
      </c>
      <c r="C340" t="s">
        <v>309</v>
      </c>
      <c r="D340" t="s">
        <v>245</v>
      </c>
      <c r="E340" t="s">
        <v>15</v>
      </c>
      <c r="F340" t="s">
        <v>28</v>
      </c>
      <c r="G340" t="s">
        <v>895</v>
      </c>
      <c r="H340">
        <f>HYPERLINK("https://www.jouwictvacature.nl/solliciteren?job=full-stack-developer-bij-telserv-", "Link")</f>
        <v/>
      </c>
      <c r="I340" t="s">
        <v>17</v>
      </c>
      <c r="J340" t="s">
        <v>18</v>
      </c>
      <c r="K340" t="s">
        <v>815</v>
      </c>
      <c r="L340" t="s">
        <v>896</v>
      </c>
    </row>
    <row hidden="1" r="341" s="1" spans="1:12">
      <c r="A341" s="4" t="n">
        <v>43122</v>
      </c>
      <c r="B341" t="s">
        <v>568</v>
      </c>
      <c r="C341" t="s">
        <v>157</v>
      </c>
      <c r="D341" t="s">
        <v>245</v>
      </c>
      <c r="E341" t="s">
        <v>15</v>
      </c>
      <c r="F341" t="s">
        <v>16</v>
      </c>
      <c r="G341" t="s">
        <v>572</v>
      </c>
      <c r="H341">
        <f>HYPERLINK("https://www.jouwictvacature.nl/solliciteren?job=ervaren-wordpress-developer-gezocht", "Link")</f>
        <v/>
      </c>
      <c r="I341" t="s">
        <v>17</v>
      </c>
      <c r="J341" t="s">
        <v>18</v>
      </c>
      <c r="K341" t="s">
        <v>570</v>
      </c>
      <c r="L341" t="s">
        <v>573</v>
      </c>
    </row>
    <row hidden="1" r="342" s="1" spans="1:12">
      <c r="A342" s="4" t="n">
        <v>43122</v>
      </c>
      <c r="B342" t="s">
        <v>342</v>
      </c>
      <c r="C342" t="s">
        <v>309</v>
      </c>
      <c r="D342" t="s">
        <v>14</v>
      </c>
      <c r="E342" t="s">
        <v>15</v>
      </c>
      <c r="F342" t="s">
        <v>16</v>
      </c>
      <c r="G342" t="s">
        <v>790</v>
      </c>
      <c r="H342">
        <f>HYPERLINK("https://www.jouwictvacature.nl/solliciteren?job=magento-developer-bij-muntz", "Link")</f>
        <v/>
      </c>
      <c r="I342" t="s">
        <v>17</v>
      </c>
      <c r="J342" t="s">
        <v>18</v>
      </c>
      <c r="K342" t="s">
        <v>791</v>
      </c>
      <c r="L342" t="s">
        <v>792</v>
      </c>
    </row>
    <row hidden="1" r="343" s="1" spans="1:12">
      <c r="A343" s="4" t="n">
        <v>43122</v>
      </c>
      <c r="B343" t="s">
        <v>423</v>
      </c>
      <c r="C343" t="s">
        <v>406</v>
      </c>
      <c r="D343" t="s">
        <v>245</v>
      </c>
      <c r="E343" t="s">
        <v>15</v>
      </c>
      <c r="F343" t="s">
        <v>52</v>
      </c>
      <c r="G343" t="s">
        <v>594</v>
      </c>
      <c r="H343">
        <f>HYPERLINK("https://www.jouwictvacature.nl/solliciteren?job=medior-fullstack-developer-bij-qualogy", "Link")</f>
        <v/>
      </c>
      <c r="I343" t="s">
        <v>17</v>
      </c>
      <c r="J343" t="s">
        <v>18</v>
      </c>
      <c r="K343" t="s">
        <v>425</v>
      </c>
      <c r="L343" t="s">
        <v>897</v>
      </c>
    </row>
    <row r="344" spans="1:12">
      <c r="A344" s="4" t="n">
        <v>43122</v>
      </c>
      <c r="B344" t="s">
        <v>664</v>
      </c>
      <c r="C344" t="s">
        <v>498</v>
      </c>
      <c r="D344" t="s">
        <v>245</v>
      </c>
      <c r="E344" t="s">
        <v>51</v>
      </c>
      <c r="F344" t="s">
        <v>28</v>
      </c>
      <c r="G344" t="s">
        <v>548</v>
      </c>
      <c r="H344">
        <f>HYPERLINK("https://www.jouwictvacature.nl/solliciteren?job=senior-front-end-developer-10", "Link")</f>
        <v/>
      </c>
      <c r="I344" t="s">
        <v>17</v>
      </c>
      <c r="J344" t="s">
        <v>18</v>
      </c>
      <c r="K344" t="s">
        <v>666</v>
      </c>
      <c r="L344" t="s">
        <v>898</v>
      </c>
    </row>
    <row hidden="1" r="345" s="1" spans="1:12">
      <c r="A345" s="4" t="n">
        <v>43122</v>
      </c>
      <c r="B345" t="s">
        <v>419</v>
      </c>
      <c r="C345" t="s">
        <v>333</v>
      </c>
      <c r="D345" t="s">
        <v>245</v>
      </c>
      <c r="E345" t="s">
        <v>15</v>
      </c>
      <c r="F345" t="s">
        <v>34</v>
      </c>
      <c r="G345" t="s">
        <v>899</v>
      </c>
      <c r="H345">
        <f>HYPERLINK("https://www.jouwictvacature.nl/solliciteren?job=medior-rich-media-developer-bij-qban-2", "Link")</f>
        <v/>
      </c>
      <c r="I345" t="s">
        <v>17</v>
      </c>
      <c r="J345" t="s">
        <v>18</v>
      </c>
      <c r="K345" t="s">
        <v>421</v>
      </c>
      <c r="L345" t="s">
        <v>900</v>
      </c>
    </row>
    <row r="346" spans="1:12">
      <c r="A346" s="4" t="n">
        <v>43122</v>
      </c>
      <c r="B346" t="s">
        <v>823</v>
      </c>
      <c r="C346" t="s">
        <v>806</v>
      </c>
      <c r="D346" t="s">
        <v>22</v>
      </c>
      <c r="E346" t="s">
        <v>51</v>
      </c>
      <c r="F346" t="s">
        <v>16</v>
      </c>
      <c r="G346" t="s">
        <v>823</v>
      </c>
      <c r="H346">
        <f>HYPERLINK("https://www.jouwictvacature.nl/solliciteren?job=front-end-developer-at-appmachine-", "Link")</f>
        <v/>
      </c>
      <c r="I346" t="s">
        <v>17</v>
      </c>
      <c r="J346" t="s">
        <v>18</v>
      </c>
      <c r="K346" t="s">
        <v>901</v>
      </c>
      <c r="L346" t="s">
        <v>902</v>
      </c>
    </row>
    <row hidden="1" r="347" s="1" spans="1:12">
      <c r="A347" s="4" t="n">
        <v>43122</v>
      </c>
      <c r="B347" t="s">
        <v>903</v>
      </c>
      <c r="C347" t="s">
        <v>72</v>
      </c>
      <c r="D347" t="s">
        <v>22</v>
      </c>
      <c r="E347" t="s">
        <v>15</v>
      </c>
      <c r="F347" t="s">
        <v>16</v>
      </c>
      <c r="G347" t="s">
        <v>904</v>
      </c>
      <c r="H347">
        <f>HYPERLINK("https://www.jouwictvacature.nl/solliciteren?job=front-end-developer-bij-crv", "Link")</f>
        <v/>
      </c>
      <c r="I347" t="s">
        <v>17</v>
      </c>
      <c r="J347" t="s">
        <v>18</v>
      </c>
      <c r="K347" t="s">
        <v>905</v>
      </c>
      <c r="L347" t="s">
        <v>906</v>
      </c>
    </row>
    <row hidden="1" r="348" s="1" spans="1:12">
      <c r="A348" s="4" t="n">
        <v>43122</v>
      </c>
      <c r="B348" t="s">
        <v>142</v>
      </c>
      <c r="C348" t="s">
        <v>143</v>
      </c>
      <c r="D348" t="s">
        <v>22</v>
      </c>
      <c r="E348" t="s">
        <v>15</v>
      </c>
      <c r="F348" t="s">
        <v>28</v>
      </c>
      <c r="G348" t="s">
        <v>144</v>
      </c>
      <c r="H348">
        <f>HYPERLINK("https://www.jouwictvacature.nl/solliciteren?job=senior-full-stack-developer-bij-coas", "Link")</f>
        <v/>
      </c>
      <c r="I348" t="s">
        <v>17</v>
      </c>
      <c r="J348" t="s">
        <v>18</v>
      </c>
      <c r="K348" t="s">
        <v>145</v>
      </c>
      <c r="L348" t="s">
        <v>146</v>
      </c>
    </row>
    <row hidden="1" r="349" s="1" spans="1:12">
      <c r="A349" s="4" t="n">
        <v>43122</v>
      </c>
      <c r="B349" t="s">
        <v>273</v>
      </c>
      <c r="C349" t="s">
        <v>274</v>
      </c>
      <c r="D349" t="s">
        <v>14</v>
      </c>
      <c r="E349" t="s">
        <v>15</v>
      </c>
      <c r="F349" t="s">
        <v>52</v>
      </c>
      <c r="G349" t="s">
        <v>907</v>
      </c>
      <c r="H349">
        <f>HYPERLINK("https://www.jouwictvacature.nl/solliciteren?job=medior-tester-bij-instituut-fysieke-veiligheid", "Link")</f>
        <v/>
      </c>
      <c r="I349" t="s">
        <v>17</v>
      </c>
      <c r="J349" t="s">
        <v>18</v>
      </c>
      <c r="K349" t="s">
        <v>908</v>
      </c>
      <c r="L349" t="s">
        <v>909</v>
      </c>
    </row>
    <row hidden="1" r="350" s="1" spans="1:12">
      <c r="A350" s="4" t="n">
        <v>43122</v>
      </c>
      <c r="B350" t="s">
        <v>574</v>
      </c>
      <c r="C350" t="s">
        <v>575</v>
      </c>
      <c r="D350" t="s">
        <v>245</v>
      </c>
      <c r="E350" t="s">
        <v>15</v>
      </c>
      <c r="F350" t="s">
        <v>16</v>
      </c>
      <c r="G350" t="s">
        <v>574</v>
      </c>
      <c r="H350">
        <f>HYPERLINK("https://www.jouwictvacature.nl/solliciteren?job=medior-xamarin-ontwikkelaar-bij-webbeat--2", "Link")</f>
        <v/>
      </c>
      <c r="I350" t="s">
        <v>17</v>
      </c>
      <c r="J350" t="s">
        <v>18</v>
      </c>
      <c r="K350" t="s">
        <v>910</v>
      </c>
      <c r="L350" t="s">
        <v>911</v>
      </c>
    </row>
    <row hidden="1" r="351" s="1" spans="1:12">
      <c r="A351" s="4" t="n">
        <v>43122</v>
      </c>
      <c r="B351" t="s">
        <v>37</v>
      </c>
      <c r="C351" t="s">
        <v>38</v>
      </c>
      <c r="D351" t="s">
        <v>22</v>
      </c>
      <c r="E351" t="s">
        <v>15</v>
      </c>
      <c r="F351" t="s">
        <v>52</v>
      </c>
      <c r="G351" t="s">
        <v>665</v>
      </c>
      <c r="H351">
        <f>HYPERLINK("https://www.jouwictvacature.nl/solliciteren?job=medior-front-end-developer-19", "Link")</f>
        <v/>
      </c>
      <c r="I351" t="s">
        <v>17</v>
      </c>
      <c r="J351" t="s">
        <v>18</v>
      </c>
      <c r="K351" t="s">
        <v>40</v>
      </c>
      <c r="L351" t="s">
        <v>912</v>
      </c>
    </row>
    <row hidden="1" r="352" s="1" spans="1:12">
      <c r="A352" s="4" t="n">
        <v>43122</v>
      </c>
      <c r="B352" t="s">
        <v>419</v>
      </c>
      <c r="C352" t="s">
        <v>333</v>
      </c>
      <c r="D352" t="s">
        <v>245</v>
      </c>
      <c r="E352" t="s">
        <v>15</v>
      </c>
      <c r="F352" t="s">
        <v>34</v>
      </c>
      <c r="G352" t="s">
        <v>420</v>
      </c>
      <c r="H352">
        <f>HYPERLINK("https://www.jouwictvacature.nl/solliciteren?job=junior-animation-developer-bij-qban", "Link")</f>
        <v/>
      </c>
      <c r="I352" t="s">
        <v>17</v>
      </c>
      <c r="J352" t="s">
        <v>18</v>
      </c>
      <c r="K352" t="s">
        <v>421</v>
      </c>
      <c r="L352" t="s">
        <v>422</v>
      </c>
    </row>
    <row hidden="1" r="353" s="1" spans="1:12">
      <c r="A353" s="4" t="n">
        <v>43124</v>
      </c>
      <c r="B353" t="s">
        <v>156</v>
      </c>
      <c r="C353" t="s">
        <v>157</v>
      </c>
      <c r="D353" t="s">
        <v>22</v>
      </c>
      <c r="E353" t="s">
        <v>15</v>
      </c>
      <c r="F353" t="s">
        <v>28</v>
      </c>
      <c r="G353" t="s">
        <v>913</v>
      </c>
      <c r="H353">
        <f>HYPERLINK("https://www.jouwictvacature.nl/solliciteren?job=senior-java-developer-bij-devoteam", "Link")</f>
        <v/>
      </c>
      <c r="I353" t="s">
        <v>17</v>
      </c>
      <c r="J353" t="s">
        <v>18</v>
      </c>
      <c r="K353" t="s">
        <v>159</v>
      </c>
      <c r="L353" t="s">
        <v>914</v>
      </c>
    </row>
    <row hidden="1" r="354" s="1" spans="1:12">
      <c r="A354" s="4" t="n">
        <v>43124</v>
      </c>
      <c r="B354" t="s">
        <v>497</v>
      </c>
      <c r="C354" t="s">
        <v>498</v>
      </c>
      <c r="D354" t="s">
        <v>245</v>
      </c>
      <c r="E354" t="s">
        <v>15</v>
      </c>
      <c r="F354" t="s">
        <v>34</v>
      </c>
      <c r="G354" t="s">
        <v>506</v>
      </c>
      <c r="H354">
        <f>HYPERLINK("https://www.jouwictvacature.nl/solliciteren?job=junior-software-developer-front-endback-end-bij-sysunite-bv", "Link")</f>
        <v/>
      </c>
      <c r="I354" t="s">
        <v>17</v>
      </c>
      <c r="J354" t="s">
        <v>18</v>
      </c>
      <c r="K354" t="s">
        <v>500</v>
      </c>
      <c r="L354" t="s">
        <v>507</v>
      </c>
    </row>
    <row hidden="1" r="355" s="1" spans="1:12">
      <c r="A355" s="4" t="n">
        <v>43124</v>
      </c>
      <c r="B355" t="s">
        <v>833</v>
      </c>
      <c r="C355" t="s">
        <v>834</v>
      </c>
      <c r="D355" t="s">
        <v>22</v>
      </c>
      <c r="E355" t="s">
        <v>15</v>
      </c>
      <c r="F355" t="s">
        <v>16</v>
      </c>
      <c r="G355" t="s">
        <v>915</v>
      </c>
      <c r="H355">
        <f>HYPERLINK("https://www.jouwictvacature.nl/solliciteren?job=lead-java-developer-senior", "Link")</f>
        <v/>
      </c>
      <c r="I355" t="s">
        <v>17</v>
      </c>
      <c r="J355" t="s">
        <v>18</v>
      </c>
      <c r="K355" t="s">
        <v>916</v>
      </c>
      <c r="L355" t="s">
        <v>917</v>
      </c>
    </row>
    <row hidden="1" r="356" s="1" spans="1:12">
      <c r="A356" s="4" t="n">
        <v>43124</v>
      </c>
      <c r="B356" t="s">
        <v>71</v>
      </c>
      <c r="C356" t="s">
        <v>76</v>
      </c>
      <c r="D356" t="s">
        <v>22</v>
      </c>
      <c r="E356" t="s">
        <v>15</v>
      </c>
      <c r="F356" t="s">
        <v>16</v>
      </c>
      <c r="G356" t="s">
        <v>918</v>
      </c>
      <c r="H356">
        <f>HYPERLINK("https://www.jouwictvacature.nl/solliciteren?job=startende-agile-test-engineer-bij-bartosz-bij-bartosz-zwolle", "Link")</f>
        <v/>
      </c>
      <c r="I356" t="s">
        <v>17</v>
      </c>
      <c r="J356" t="s">
        <v>18</v>
      </c>
      <c r="K356" t="s">
        <v>608</v>
      </c>
      <c r="L356" t="s">
        <v>919</v>
      </c>
    </row>
    <row hidden="1" r="357" s="1" spans="1:12">
      <c r="A357" s="4" t="n">
        <v>43124</v>
      </c>
      <c r="B357" t="s">
        <v>156</v>
      </c>
      <c r="C357" t="s">
        <v>157</v>
      </c>
      <c r="D357" t="s">
        <v>22</v>
      </c>
      <c r="E357" t="s">
        <v>15</v>
      </c>
      <c r="F357" t="s">
        <v>52</v>
      </c>
      <c r="G357" t="s">
        <v>920</v>
      </c>
      <c r="H357">
        <f>HYPERLINK("https://www.jouwictvacature.nl/solliciteren?job=medior-java-developer-bij-devoteam--2", "Link")</f>
        <v/>
      </c>
      <c r="I357" t="s">
        <v>17</v>
      </c>
      <c r="J357" t="s">
        <v>18</v>
      </c>
      <c r="K357" t="s">
        <v>159</v>
      </c>
      <c r="L357" t="s">
        <v>921</v>
      </c>
    </row>
    <row hidden="1" r="358" s="1" spans="1:12">
      <c r="A358" s="4" t="n">
        <v>43124</v>
      </c>
      <c r="B358" t="s">
        <v>450</v>
      </c>
      <c r="C358" t="s">
        <v>451</v>
      </c>
      <c r="D358" t="s">
        <v>245</v>
      </c>
      <c r="E358" t="s">
        <v>15</v>
      </c>
      <c r="F358" t="s">
        <v>52</v>
      </c>
      <c r="G358" t="s">
        <v>922</v>
      </c>
      <c r="H358">
        <f>HYPERLINK("https://www.jouwictvacature.nl/solliciteren?job=medior-java-developer-in-automotive-sector--ms-sql-oracle-jsp", "Link")</f>
        <v/>
      </c>
      <c r="I358" t="s">
        <v>17</v>
      </c>
      <c r="J358" t="s">
        <v>18</v>
      </c>
      <c r="K358" t="s">
        <v>777</v>
      </c>
      <c r="L358" t="s">
        <v>923</v>
      </c>
    </row>
    <row hidden="1" r="359" s="1" spans="1:12">
      <c r="A359" s="4" t="n">
        <v>43124</v>
      </c>
      <c r="B359" t="s">
        <v>223</v>
      </c>
      <c r="C359" t="s">
        <v>80</v>
      </c>
      <c r="D359" t="s">
        <v>22</v>
      </c>
      <c r="E359" t="s">
        <v>15</v>
      </c>
      <c r="F359" t="s">
        <v>16</v>
      </c>
      <c r="G359" t="s">
        <v>924</v>
      </c>
      <c r="H359">
        <f>HYPERLINK("https://www.jouwictvacature.nl/solliciteren?job=docent-cybersecurity-bij-de-hogeschool-van-amsterdam-bij-hogeschool-va", "Link")</f>
        <v/>
      </c>
      <c r="I359" t="s">
        <v>17</v>
      </c>
      <c r="J359" t="s">
        <v>18</v>
      </c>
      <c r="K359" t="s">
        <v>925</v>
      </c>
      <c r="L359" t="s">
        <v>926</v>
      </c>
    </row>
    <row hidden="1" r="360" s="1" spans="1:12">
      <c r="A360" s="4" t="n">
        <v>43124</v>
      </c>
      <c r="B360" t="s">
        <v>115</v>
      </c>
      <c r="C360" t="s">
        <v>62</v>
      </c>
      <c r="D360" t="s">
        <v>22</v>
      </c>
      <c r="E360" t="s">
        <v>15</v>
      </c>
      <c r="F360" t="s">
        <v>28</v>
      </c>
      <c r="G360" t="s">
        <v>927</v>
      </c>
      <c r="H360">
        <f>HYPERLINK("https://www.jouwictvacature.nl/solliciteren?job=senior-java-developer-in-utrecht--spring-boot-reactor-cloud-bij-bottom", "Link")</f>
        <v/>
      </c>
      <c r="I360" t="s">
        <v>17</v>
      </c>
      <c r="J360" t="s">
        <v>18</v>
      </c>
      <c r="K360" t="s">
        <v>121</v>
      </c>
      <c r="L360" t="s">
        <v>928</v>
      </c>
    </row>
    <row hidden="1" r="361" s="1" spans="1:12">
      <c r="A361" s="4" t="n">
        <v>43124</v>
      </c>
      <c r="B361" t="s">
        <v>71</v>
      </c>
      <c r="C361" t="s">
        <v>93</v>
      </c>
      <c r="D361" t="s">
        <v>22</v>
      </c>
      <c r="E361" t="s">
        <v>15</v>
      </c>
      <c r="F361" t="s">
        <v>52</v>
      </c>
      <c r="G361" t="s">
        <v>94</v>
      </c>
      <c r="H361">
        <f>HYPERLINK("https://www.jouwictvacature.nl/solliciteren?job=medior-testanalist-bij-bartosz-bij-bartosz-rotterdam", "Link")</f>
        <v/>
      </c>
      <c r="I361" t="s">
        <v>17</v>
      </c>
      <c r="J361" t="s">
        <v>18</v>
      </c>
      <c r="K361" t="s">
        <v>95</v>
      </c>
      <c r="L361" t="s">
        <v>96</v>
      </c>
    </row>
    <row hidden="1" r="362" s="1" spans="1:12">
      <c r="A362" s="4" t="n">
        <v>43124</v>
      </c>
      <c r="B362" t="s">
        <v>378</v>
      </c>
      <c r="C362" t="s">
        <v>309</v>
      </c>
      <c r="D362" t="s">
        <v>14</v>
      </c>
      <c r="E362" t="s">
        <v>15</v>
      </c>
      <c r="F362" t="s">
        <v>16</v>
      </c>
      <c r="G362" t="s">
        <v>929</v>
      </c>
      <c r="H362">
        <f>HYPERLINK("https://www.jouwictvacature.nl/solliciteren?job=stageopdracht-opensuite-op-sharepoint-bij-opensatisfaction", "Link")</f>
        <v/>
      </c>
      <c r="I362" t="s">
        <v>17</v>
      </c>
      <c r="J362" t="s">
        <v>18</v>
      </c>
      <c r="K362" t="s">
        <v>930</v>
      </c>
      <c r="L362" t="s">
        <v>931</v>
      </c>
    </row>
    <row hidden="1" r="363" s="1" spans="1:12">
      <c r="A363" s="4" t="n">
        <v>43124</v>
      </c>
      <c r="B363" t="s">
        <v>455</v>
      </c>
      <c r="C363" t="s">
        <v>460</v>
      </c>
      <c r="D363" t="s">
        <v>245</v>
      </c>
      <c r="E363" t="s">
        <v>15</v>
      </c>
      <c r="F363" t="s">
        <v>28</v>
      </c>
      <c r="G363" t="s">
        <v>932</v>
      </c>
      <c r="H363">
        <f>HYPERLINK("https://www.jouwictvacature.nl/solliciteren?job=medior-microsoft-sharepoint-specialist-bij-sogeti-6", "Link")</f>
        <v/>
      </c>
      <c r="I363" t="s">
        <v>17</v>
      </c>
      <c r="J363" t="s">
        <v>18</v>
      </c>
      <c r="K363" t="s">
        <v>458</v>
      </c>
      <c r="L363" t="s">
        <v>933</v>
      </c>
    </row>
    <row r="364" spans="1:12">
      <c r="A364" s="4" t="n">
        <v>43124</v>
      </c>
      <c r="B364" t="s">
        <v>382</v>
      </c>
      <c r="C364" t="s">
        <v>274</v>
      </c>
      <c r="D364" t="s">
        <v>14</v>
      </c>
      <c r="E364" t="s">
        <v>51</v>
      </c>
      <c r="F364" t="s">
        <v>34</v>
      </c>
      <c r="G364" t="s">
        <v>383</v>
      </c>
      <c r="H364">
        <f>HYPERLINK("https://www.jouwictvacature.nl/solliciteren?job=junior-software-engineer--2", "Link")</f>
        <v/>
      </c>
      <c r="I364" t="s">
        <v>17</v>
      </c>
      <c r="J364" t="s">
        <v>18</v>
      </c>
      <c r="K364" t="s">
        <v>384</v>
      </c>
      <c r="L364" t="s">
        <v>385</v>
      </c>
    </row>
    <row hidden="1" r="365" s="1" spans="1:12">
      <c r="A365" s="4" t="n">
        <v>43124</v>
      </c>
      <c r="B365" t="s">
        <v>142</v>
      </c>
      <c r="C365" t="s">
        <v>143</v>
      </c>
      <c r="D365" t="s">
        <v>22</v>
      </c>
      <c r="E365" t="s">
        <v>15</v>
      </c>
      <c r="F365" t="s">
        <v>28</v>
      </c>
      <c r="G365" t="s">
        <v>58</v>
      </c>
      <c r="H365">
        <f>HYPERLINK("https://www.jouwictvacature.nl/solliciteren?job=senior-allround-developer-bij-coas", "Link")</f>
        <v/>
      </c>
      <c r="I365" t="s">
        <v>17</v>
      </c>
      <c r="J365" t="s">
        <v>18</v>
      </c>
      <c r="K365" t="s">
        <v>149</v>
      </c>
      <c r="L365" t="s">
        <v>150</v>
      </c>
    </row>
    <row hidden="1" r="366" s="1" spans="1:12">
      <c r="A366" s="4" t="n">
        <v>43124</v>
      </c>
      <c r="B366" t="s">
        <v>210</v>
      </c>
      <c r="C366" t="s">
        <v>62</v>
      </c>
      <c r="D366" t="s">
        <v>22</v>
      </c>
      <c r="E366" t="s">
        <v>15</v>
      </c>
      <c r="F366" t="s">
        <v>16</v>
      </c>
      <c r="G366" t="s">
        <v>210</v>
      </c>
      <c r="H366">
        <f>HYPERLINK("https://www.jouwictvacature.nl/solliciteren?job=medior-ontwikkelaar-bij-finavista-2", "Link")</f>
        <v/>
      </c>
      <c r="I366" t="s">
        <v>17</v>
      </c>
      <c r="J366" t="s">
        <v>18</v>
      </c>
      <c r="K366" t="s">
        <v>211</v>
      </c>
      <c r="L366" t="s">
        <v>212</v>
      </c>
    </row>
    <row hidden="1" r="367" s="1" spans="1:12">
      <c r="A367" s="4" t="n">
        <v>43124</v>
      </c>
      <c r="B367" t="s">
        <v>405</v>
      </c>
      <c r="C367" t="s">
        <v>412</v>
      </c>
      <c r="D367" t="s">
        <v>14</v>
      </c>
      <c r="E367" t="s">
        <v>15</v>
      </c>
      <c r="F367" t="s">
        <v>16</v>
      </c>
      <c r="G367" t="s">
        <v>405</v>
      </c>
      <c r="H367">
        <f>HYPERLINK("https://www.jouwictvacature.nl/solliciteren?job=medior-microsoft-dynamics-ax-developer-bij-prodware-2", "Link")</f>
        <v/>
      </c>
      <c r="I367" t="s">
        <v>17</v>
      </c>
      <c r="J367" t="s">
        <v>18</v>
      </c>
      <c r="K367" t="s">
        <v>415</v>
      </c>
      <c r="L367" t="s">
        <v>416</v>
      </c>
    </row>
    <row hidden="1" r="368" s="1" spans="1:12">
      <c r="A368" s="4" t="n">
        <v>43124</v>
      </c>
      <c r="B368" t="s">
        <v>142</v>
      </c>
      <c r="C368" t="s">
        <v>143</v>
      </c>
      <c r="D368" t="s">
        <v>22</v>
      </c>
      <c r="E368" t="s">
        <v>15</v>
      </c>
      <c r="F368" t="s">
        <v>28</v>
      </c>
      <c r="G368" t="s">
        <v>144</v>
      </c>
      <c r="H368">
        <f>HYPERLINK("https://www.jouwictvacature.nl/solliciteren?job=senior-full-stack-developer-bij-coas", "Link")</f>
        <v/>
      </c>
      <c r="I368" t="s">
        <v>17</v>
      </c>
      <c r="J368" t="s">
        <v>18</v>
      </c>
      <c r="K368" t="s">
        <v>145</v>
      </c>
      <c r="L368" t="s">
        <v>146</v>
      </c>
    </row>
    <row hidden="1" r="369" s="1" spans="1:12">
      <c r="A369" s="4" t="n">
        <v>43124</v>
      </c>
      <c r="B369" t="s">
        <v>455</v>
      </c>
      <c r="C369" t="s">
        <v>45</v>
      </c>
      <c r="D369" t="s">
        <v>245</v>
      </c>
      <c r="E369" t="s">
        <v>15</v>
      </c>
      <c r="F369" t="s">
        <v>16</v>
      </c>
      <c r="G369" t="s">
        <v>934</v>
      </c>
      <c r="H369">
        <f>HYPERLINK("https://www.jouwictvacature.nl/solliciteren?job=young-professional-microsoft-net-bij-sogeti-6", "Link")</f>
        <v/>
      </c>
      <c r="I369" t="s">
        <v>17</v>
      </c>
      <c r="J369" t="s">
        <v>18</v>
      </c>
      <c r="K369" t="s">
        <v>935</v>
      </c>
      <c r="L369" t="s">
        <v>936</v>
      </c>
    </row>
    <row hidden="1" r="370" s="1" spans="1:12">
      <c r="A370" s="4" t="n">
        <v>43124</v>
      </c>
      <c r="B370" t="s">
        <v>308</v>
      </c>
      <c r="C370" t="s">
        <v>309</v>
      </c>
      <c r="D370" t="s">
        <v>14</v>
      </c>
      <c r="E370" t="s">
        <v>15</v>
      </c>
      <c r="F370" t="s">
        <v>16</v>
      </c>
      <c r="G370" t="s">
        <v>937</v>
      </c>
      <c r="H370">
        <f>HYPERLINK("https://www.jouwictvacature.nl/solliciteren?job=operator-bij-marketgraph-voor-in-de-mediabranche", "Link")</f>
        <v/>
      </c>
      <c r="I370" t="s">
        <v>17</v>
      </c>
      <c r="J370" t="s">
        <v>18</v>
      </c>
      <c r="K370" t="s">
        <v>311</v>
      </c>
      <c r="L370" t="s">
        <v>938</v>
      </c>
    </row>
    <row hidden="1" r="371" s="1" spans="1:12">
      <c r="A371" s="4" t="n">
        <v>43124</v>
      </c>
      <c r="B371" t="s">
        <v>405</v>
      </c>
      <c r="C371" t="s">
        <v>406</v>
      </c>
      <c r="D371" t="s">
        <v>14</v>
      </c>
      <c r="E371" t="s">
        <v>15</v>
      </c>
      <c r="F371" t="s">
        <v>16</v>
      </c>
      <c r="G371" t="s">
        <v>409</v>
      </c>
      <c r="H371">
        <f>HYPERLINK("https://www.jouwictvacature.nl/solliciteren?job=functionele-sharepoint-consultant-2", "Link")</f>
        <v/>
      </c>
      <c r="I371" t="s">
        <v>17</v>
      </c>
      <c r="J371" t="s">
        <v>18</v>
      </c>
      <c r="K371" t="s">
        <v>410</v>
      </c>
      <c r="L371" t="s">
        <v>411</v>
      </c>
    </row>
    <row hidden="1" r="372" s="1" spans="1:12">
      <c r="A372" s="4" t="n">
        <v>43124</v>
      </c>
      <c r="B372" t="s">
        <v>455</v>
      </c>
      <c r="C372" t="s">
        <v>309</v>
      </c>
      <c r="D372" t="s">
        <v>245</v>
      </c>
      <c r="E372" t="s">
        <v>15</v>
      </c>
      <c r="F372" t="s">
        <v>16</v>
      </c>
      <c r="G372" t="s">
        <v>468</v>
      </c>
      <c r="H372">
        <f>HYPERLINK("https://www.jouwictvacature.nl/solliciteren?job=net-lead-engineer-bij-sogeti-6", "Link")</f>
        <v/>
      </c>
      <c r="I372" t="s">
        <v>17</v>
      </c>
      <c r="J372" t="s">
        <v>18</v>
      </c>
      <c r="K372" t="s">
        <v>466</v>
      </c>
      <c r="L372" t="s">
        <v>469</v>
      </c>
    </row>
    <row hidden="1" r="373" s="1" spans="1:12">
      <c r="A373" s="4" t="n">
        <v>43124</v>
      </c>
      <c r="B373" t="s">
        <v>354</v>
      </c>
      <c r="C373" t="s">
        <v>50</v>
      </c>
      <c r="D373" t="s">
        <v>14</v>
      </c>
      <c r="E373" t="s">
        <v>15</v>
      </c>
      <c r="F373" t="s">
        <v>16</v>
      </c>
      <c r="G373" t="s">
        <v>939</v>
      </c>
      <c r="H373">
        <f>HYPERLINK("https://www.jouwictvacature.nl/solliciteren?job=-back-end-wordpress-developer", "Link")</f>
        <v/>
      </c>
      <c r="I373" t="s">
        <v>17</v>
      </c>
      <c r="J373" t="s">
        <v>18</v>
      </c>
      <c r="K373" t="s">
        <v>940</v>
      </c>
      <c r="L373" t="s">
        <v>941</v>
      </c>
    </row>
    <row hidden="1" r="374" s="1" spans="1:12">
      <c r="A374" s="4" t="n">
        <v>43124</v>
      </c>
      <c r="B374" t="s">
        <v>795</v>
      </c>
      <c r="C374" t="s">
        <v>796</v>
      </c>
      <c r="D374" t="s">
        <v>14</v>
      </c>
      <c r="E374" t="s">
        <v>15</v>
      </c>
      <c r="F374" t="s">
        <v>52</v>
      </c>
      <c r="G374" t="s">
        <v>797</v>
      </c>
      <c r="H374">
        <f>HYPERLINK("https://www.jouwictvacature.nl/solliciteren?job=medior-webdeveloper--html-css-jquery-php-oop-mysql-wordpress", "Link")</f>
        <v/>
      </c>
      <c r="I374" t="s">
        <v>17</v>
      </c>
      <c r="J374" t="s">
        <v>18</v>
      </c>
      <c r="K374" t="s">
        <v>798</v>
      </c>
      <c r="L374" t="s">
        <v>799</v>
      </c>
    </row>
    <row hidden="1" r="375" s="1" spans="1:12">
      <c r="A375" s="4" t="n">
        <v>43124</v>
      </c>
      <c r="B375" t="s">
        <v>942</v>
      </c>
      <c r="C375" t="s">
        <v>943</v>
      </c>
      <c r="D375" t="s">
        <v>245</v>
      </c>
      <c r="E375" t="s">
        <v>15</v>
      </c>
      <c r="F375" t="s">
        <v>52</v>
      </c>
      <c r="G375" t="s">
        <v>944</v>
      </c>
      <c r="H375">
        <f>HYPERLINK("https://www.jouwictvacature.nl/solliciteren?job=junior-php-webdeveloper-4", "Link")</f>
        <v/>
      </c>
      <c r="I375" t="s">
        <v>17</v>
      </c>
      <c r="J375" t="s">
        <v>18</v>
      </c>
      <c r="K375" t="s">
        <v>945</v>
      </c>
      <c r="L375" t="s">
        <v>946</v>
      </c>
    </row>
    <row r="376" spans="1:12">
      <c r="A376" s="4" t="n">
        <v>43124</v>
      </c>
      <c r="B376" t="s">
        <v>49</v>
      </c>
      <c r="C376" t="s">
        <v>50</v>
      </c>
      <c r="D376" t="s">
        <v>22</v>
      </c>
      <c r="E376" t="s">
        <v>51</v>
      </c>
      <c r="F376" t="s">
        <v>52</v>
      </c>
      <c r="G376" t="s">
        <v>947</v>
      </c>
      <c r="H376">
        <f>HYPERLINK("https://www.jouwictvacature.nl/solliciteren?job=medior-allround-developer-bij-asamco-bv", "Link")</f>
        <v/>
      </c>
      <c r="I376" t="s">
        <v>17</v>
      </c>
      <c r="J376" t="s">
        <v>18</v>
      </c>
      <c r="K376" t="s">
        <v>59</v>
      </c>
      <c r="L376" t="s">
        <v>948</v>
      </c>
    </row>
    <row hidden="1" r="377" s="1" spans="1:12">
      <c r="A377" s="4" t="n">
        <v>43124</v>
      </c>
      <c r="B377" t="s">
        <v>627</v>
      </c>
      <c r="C377" t="s">
        <v>80</v>
      </c>
      <c r="D377" t="s">
        <v>14</v>
      </c>
      <c r="E377" t="s">
        <v>15</v>
      </c>
      <c r="F377" t="s">
        <v>16</v>
      </c>
      <c r="G377" t="s">
        <v>627</v>
      </c>
      <c r="H377">
        <f>HYPERLINK("https://www.jouwictvacature.nl/solliciteren?job=php-developer-bij-imu-", "Link")</f>
        <v/>
      </c>
      <c r="I377" t="s">
        <v>17</v>
      </c>
      <c r="J377" t="s">
        <v>18</v>
      </c>
      <c r="K377" t="s">
        <v>628</v>
      </c>
      <c r="L377" t="s">
        <v>629</v>
      </c>
    </row>
    <row hidden="1" r="378" s="1" spans="1:12">
      <c r="A378" s="4" t="n">
        <v>43124</v>
      </c>
      <c r="B378" t="s">
        <v>568</v>
      </c>
      <c r="C378" t="s">
        <v>157</v>
      </c>
      <c r="D378" t="s">
        <v>245</v>
      </c>
      <c r="E378" t="s">
        <v>15</v>
      </c>
      <c r="F378" t="s">
        <v>16</v>
      </c>
      <c r="G378" t="s">
        <v>949</v>
      </c>
      <c r="H378">
        <f>HYPERLINK("https://www.jouwictvacature.nl/solliciteren?job=ervaren-medior-wordpress-developer-gezocht-bij-web-whales", "Link")</f>
        <v/>
      </c>
      <c r="I378" t="s">
        <v>17</v>
      </c>
      <c r="J378" t="s">
        <v>18</v>
      </c>
      <c r="K378" t="s">
        <v>570</v>
      </c>
      <c r="L378" t="s">
        <v>950</v>
      </c>
    </row>
    <row hidden="1" r="379" s="1" spans="1:12">
      <c r="A379" s="4" t="n">
        <v>43124</v>
      </c>
      <c r="B379" t="s">
        <v>342</v>
      </c>
      <c r="C379" t="s">
        <v>309</v>
      </c>
      <c r="D379" t="s">
        <v>14</v>
      </c>
      <c r="E379" t="s">
        <v>15</v>
      </c>
      <c r="F379" t="s">
        <v>16</v>
      </c>
      <c r="G379" t="s">
        <v>790</v>
      </c>
      <c r="H379">
        <f>HYPERLINK("https://www.jouwictvacature.nl/solliciteren?job=magento-developer-bij-muntz", "Link")</f>
        <v/>
      </c>
      <c r="I379" t="s">
        <v>17</v>
      </c>
      <c r="J379" t="s">
        <v>18</v>
      </c>
      <c r="K379" t="s">
        <v>791</v>
      </c>
      <c r="L379" t="s">
        <v>792</v>
      </c>
    </row>
    <row hidden="1" r="380" s="1" spans="1:12">
      <c r="A380" s="4" t="n">
        <v>43124</v>
      </c>
      <c r="B380" t="s">
        <v>795</v>
      </c>
      <c r="C380" t="s">
        <v>796</v>
      </c>
      <c r="D380" t="s">
        <v>14</v>
      </c>
      <c r="E380" t="s">
        <v>15</v>
      </c>
      <c r="F380" t="s">
        <v>28</v>
      </c>
      <c r="G380" t="s">
        <v>893</v>
      </c>
      <c r="H380">
        <f>HYPERLINK("https://www.jouwictvacature.nl/solliciteren?job=senior-webdeveloper--html-css-jquery-php-oop-mysql-wordpress-bij-csorb", "Link")</f>
        <v/>
      </c>
      <c r="I380" t="s">
        <v>17</v>
      </c>
      <c r="J380" t="s">
        <v>18</v>
      </c>
      <c r="K380" t="s">
        <v>798</v>
      </c>
      <c r="L380" t="s">
        <v>894</v>
      </c>
    </row>
    <row hidden="1" r="381" s="1" spans="1:12">
      <c r="A381" s="4" t="n">
        <v>43124</v>
      </c>
      <c r="B381" t="s">
        <v>365</v>
      </c>
      <c r="C381" t="s">
        <v>366</v>
      </c>
      <c r="D381" t="s">
        <v>14</v>
      </c>
      <c r="E381" t="s">
        <v>15</v>
      </c>
      <c r="F381" t="s">
        <v>16</v>
      </c>
      <c r="G381" t="s">
        <v>365</v>
      </c>
      <c r="H381">
        <f>HYPERLINK("https://www.jouwictvacature.nl/solliciteren?job=medior-laravel-programmeur-bij-not-on-paper-", "Link")</f>
        <v/>
      </c>
      <c r="I381" t="s">
        <v>17</v>
      </c>
      <c r="J381" t="s">
        <v>18</v>
      </c>
      <c r="K381" t="s">
        <v>367</v>
      </c>
      <c r="L381" t="s">
        <v>368</v>
      </c>
    </row>
    <row hidden="1" r="382" s="1" spans="1:12">
      <c r="A382" s="4" t="n">
        <v>43124</v>
      </c>
      <c r="B382" t="s">
        <v>365</v>
      </c>
      <c r="C382" t="s">
        <v>366</v>
      </c>
      <c r="D382" t="s">
        <v>14</v>
      </c>
      <c r="E382" t="s">
        <v>15</v>
      </c>
      <c r="F382" t="s">
        <v>16</v>
      </c>
      <c r="G382" t="s">
        <v>365</v>
      </c>
      <c r="H382">
        <f>HYPERLINK("https://www.jouwictvacature.nl/solliciteren?job=junior-laravel-programmeur-bij-not-on-paper", "Link")</f>
        <v/>
      </c>
      <c r="I382" t="s">
        <v>17</v>
      </c>
      <c r="J382" t="s">
        <v>18</v>
      </c>
      <c r="K382" t="s">
        <v>367</v>
      </c>
      <c r="L382" t="s">
        <v>951</v>
      </c>
    </row>
    <row hidden="1" r="383" s="1" spans="1:12">
      <c r="A383" s="4" t="n">
        <v>43124</v>
      </c>
      <c r="B383" t="s">
        <v>829</v>
      </c>
      <c r="C383" t="s">
        <v>279</v>
      </c>
      <c r="D383" t="s">
        <v>22</v>
      </c>
      <c r="E383" t="s">
        <v>15</v>
      </c>
      <c r="F383" t="s">
        <v>16</v>
      </c>
      <c r="G383" t="s">
        <v>952</v>
      </c>
      <c r="H383">
        <f>HYPERLINK("https://www.jouwictvacature.nl/solliciteren?job=front-end-ontwikkelaar-bij-bigbridge", "Link")</f>
        <v/>
      </c>
      <c r="I383" t="s">
        <v>17</v>
      </c>
      <c r="J383" t="s">
        <v>18</v>
      </c>
      <c r="K383" t="s">
        <v>953</v>
      </c>
      <c r="L383" t="s">
        <v>954</v>
      </c>
    </row>
    <row hidden="1" r="384" s="1" spans="1:12">
      <c r="A384" s="4" t="n">
        <v>43124</v>
      </c>
      <c r="B384" t="s">
        <v>37</v>
      </c>
      <c r="C384" t="s">
        <v>38</v>
      </c>
      <c r="D384" t="s">
        <v>22</v>
      </c>
      <c r="E384" t="s">
        <v>15</v>
      </c>
      <c r="F384" t="s">
        <v>28</v>
      </c>
      <c r="G384" t="s">
        <v>39</v>
      </c>
      <c r="H384">
        <f>HYPERLINK("https://www.jouwictvacature.nl/solliciteren?job=senior-front-end-developer-bij-advitrae", "Link")</f>
        <v/>
      </c>
      <c r="I384" t="s">
        <v>17</v>
      </c>
      <c r="J384" t="s">
        <v>18</v>
      </c>
      <c r="K384" t="s">
        <v>40</v>
      </c>
      <c r="L384" t="s">
        <v>41</v>
      </c>
    </row>
    <row hidden="1" r="385" s="1" spans="1:12">
      <c r="A385" s="4" t="n">
        <v>43124</v>
      </c>
      <c r="B385" t="s">
        <v>745</v>
      </c>
      <c r="C385" t="s">
        <v>80</v>
      </c>
      <c r="D385" t="s">
        <v>22</v>
      </c>
      <c r="E385" t="s">
        <v>15</v>
      </c>
      <c r="F385" t="s">
        <v>16</v>
      </c>
      <c r="G385" t="s">
        <v>745</v>
      </c>
      <c r="H385">
        <f>HYPERLINK("https://www.jouwictvacature.nl/solliciteren?job=junior-front-end-developer-bij-hostnet", "Link")</f>
        <v/>
      </c>
      <c r="I385" t="s">
        <v>17</v>
      </c>
      <c r="J385" t="s">
        <v>18</v>
      </c>
      <c r="K385" t="s">
        <v>746</v>
      </c>
      <c r="L385" t="s">
        <v>955</v>
      </c>
    </row>
    <row hidden="1" r="386" s="1" spans="1:12">
      <c r="A386" s="4" t="n">
        <v>43124</v>
      </c>
      <c r="B386" t="s">
        <v>753</v>
      </c>
      <c r="C386" t="s">
        <v>309</v>
      </c>
      <c r="D386" t="s">
        <v>22</v>
      </c>
      <c r="E386" t="s">
        <v>15</v>
      </c>
      <c r="F386" t="s">
        <v>16</v>
      </c>
      <c r="G386" t="s">
        <v>753</v>
      </c>
      <c r="H386">
        <f>HYPERLINK("https://www.jouwictvacature.nl/solliciteren?job=junior-allround-designer-bij-creabea", "Link")</f>
        <v/>
      </c>
      <c r="I386" t="s">
        <v>17</v>
      </c>
      <c r="J386" t="s">
        <v>18</v>
      </c>
      <c r="K386" t="s">
        <v>754</v>
      </c>
      <c r="L386" t="s">
        <v>956</v>
      </c>
    </row>
    <row hidden="1" r="387" s="1" spans="1:12">
      <c r="A387" s="4" t="n">
        <v>43124</v>
      </c>
      <c r="B387" t="s">
        <v>546</v>
      </c>
      <c r="C387" t="s">
        <v>547</v>
      </c>
      <c r="D387" t="s">
        <v>245</v>
      </c>
      <c r="E387" t="s">
        <v>15</v>
      </c>
      <c r="F387" t="s">
        <v>34</v>
      </c>
      <c r="G387" t="s">
        <v>551</v>
      </c>
      <c r="H387">
        <f>HYPERLINK("https://www.jouwictvacature.nl/solliciteren?job=junior-front-end-developer-bij-u-lab", "Link")</f>
        <v/>
      </c>
      <c r="I387" t="s">
        <v>17</v>
      </c>
      <c r="J387" t="s">
        <v>18</v>
      </c>
      <c r="K387" t="s">
        <v>549</v>
      </c>
      <c r="L387" t="s">
        <v>552</v>
      </c>
    </row>
    <row hidden="1" r="388" s="1" spans="1:12">
      <c r="A388" s="4" t="n">
        <v>43124</v>
      </c>
      <c r="B388" t="s">
        <v>742</v>
      </c>
      <c r="C388" t="s">
        <v>62</v>
      </c>
      <c r="D388" t="s">
        <v>245</v>
      </c>
      <c r="E388" t="s">
        <v>15</v>
      </c>
      <c r="F388" t="s">
        <v>16</v>
      </c>
      <c r="G388" t="s">
        <v>742</v>
      </c>
      <c r="H388">
        <f>HYPERLINK("https://www.jouwictvacature.nl/solliciteren?job=front-end-developer-bij-valueblue", "Link")</f>
        <v/>
      </c>
      <c r="I388" t="s">
        <v>17</v>
      </c>
      <c r="J388" t="s">
        <v>18</v>
      </c>
      <c r="K388" t="s">
        <v>743</v>
      </c>
      <c r="L388" t="s">
        <v>957</v>
      </c>
    </row>
    <row hidden="1" r="389" s="1" spans="1:12">
      <c r="A389" s="4" t="n">
        <v>43124</v>
      </c>
      <c r="B389" t="s">
        <v>958</v>
      </c>
      <c r="C389" t="s">
        <v>959</v>
      </c>
      <c r="D389" t="s">
        <v>245</v>
      </c>
      <c r="E389" t="s">
        <v>15</v>
      </c>
      <c r="F389" t="s">
        <v>16</v>
      </c>
      <c r="G389" t="s">
        <v>958</v>
      </c>
      <c r="H389">
        <f>HYPERLINK("https://www.jouwictvacature.nl/solliciteren?job=medior-front-end-developer-bij-codarts-hogeschool-voor-de-kunsten-bij-", "Link")</f>
        <v/>
      </c>
      <c r="I389" t="s">
        <v>17</v>
      </c>
      <c r="J389" t="s">
        <v>18</v>
      </c>
      <c r="K389" t="s">
        <v>960</v>
      </c>
      <c r="L389" t="s">
        <v>961</v>
      </c>
    </row>
    <row hidden="1" r="390" s="1" spans="1:12">
      <c r="A390" s="4" t="n">
        <v>43124</v>
      </c>
      <c r="B390" t="s">
        <v>26</v>
      </c>
      <c r="C390" t="s">
        <v>660</v>
      </c>
      <c r="D390" t="s">
        <v>22</v>
      </c>
      <c r="E390" t="s">
        <v>15</v>
      </c>
      <c r="F390" t="s">
        <v>28</v>
      </c>
      <c r="G390" t="s">
        <v>375</v>
      </c>
      <c r="H390">
        <f>HYPERLINK("https://www.jouwictvacature.nl/solliciteren?job=senior-fullstack-developer-bij-aan-zee-communicatie", "Link")</f>
        <v/>
      </c>
      <c r="I390" t="s">
        <v>17</v>
      </c>
      <c r="J390" t="s">
        <v>18</v>
      </c>
      <c r="K390" t="s">
        <v>662</v>
      </c>
      <c r="L390" t="s">
        <v>962</v>
      </c>
    </row>
    <row r="391" spans="1:12">
      <c r="A391" s="4" t="n">
        <v>43124</v>
      </c>
      <c r="B391" t="s">
        <v>963</v>
      </c>
      <c r="C391" t="s">
        <v>38</v>
      </c>
      <c r="D391" t="s">
        <v>14</v>
      </c>
      <c r="E391" t="s">
        <v>51</v>
      </c>
      <c r="F391" t="s">
        <v>28</v>
      </c>
      <c r="G391" t="s">
        <v>964</v>
      </c>
      <c r="H391">
        <f>HYPERLINK("https://www.jouwictvacature.nl/solliciteren?job=senior-full-stack-focus-on-front-end-bij-pyton-an-amadeus-company", "Link")</f>
        <v/>
      </c>
      <c r="I391" t="s">
        <v>17</v>
      </c>
      <c r="J391" t="s">
        <v>18</v>
      </c>
      <c r="K391" t="s">
        <v>965</v>
      </c>
      <c r="L391" t="s">
        <v>966</v>
      </c>
    </row>
    <row hidden="1" r="392" s="1" spans="1:12">
      <c r="A392" s="4" t="n">
        <v>43124</v>
      </c>
      <c r="B392" t="s">
        <v>317</v>
      </c>
      <c r="C392" t="s">
        <v>45</v>
      </c>
      <c r="D392" t="s">
        <v>14</v>
      </c>
      <c r="E392" t="s">
        <v>15</v>
      </c>
      <c r="F392" t="s">
        <v>28</v>
      </c>
      <c r="G392" t="s">
        <v>967</v>
      </c>
      <c r="H392">
        <f>HYPERLINK("https://www.jouwictvacature.nl/solliciteren?job=senior-full-stack-developer-bij-maximumnl", "Link")</f>
        <v/>
      </c>
      <c r="I392" t="s">
        <v>17</v>
      </c>
      <c r="J392" t="s">
        <v>18</v>
      </c>
      <c r="K392" t="s">
        <v>632</v>
      </c>
      <c r="L392" t="s">
        <v>968</v>
      </c>
    </row>
    <row hidden="1" r="393" s="1" spans="1:12">
      <c r="A393" s="4" t="n">
        <v>43124</v>
      </c>
      <c r="B393" t="s">
        <v>115</v>
      </c>
      <c r="C393" t="s">
        <v>62</v>
      </c>
      <c r="D393" t="s">
        <v>22</v>
      </c>
      <c r="E393" t="s">
        <v>15</v>
      </c>
      <c r="F393" t="s">
        <v>16</v>
      </c>
      <c r="G393" t="s">
        <v>969</v>
      </c>
      <c r="H393">
        <f>HYPERLINK("https://www.jouwictvacature.nl/solliciteren?job=wil-jij-als-software-manager-aan-de-slag-in-een-oude-utrechtse-waterto", "Link")</f>
        <v/>
      </c>
      <c r="I393" t="s">
        <v>17</v>
      </c>
      <c r="J393" t="s">
        <v>18</v>
      </c>
      <c r="K393" t="s">
        <v>970</v>
      </c>
      <c r="L393" t="s">
        <v>971</v>
      </c>
    </row>
    <row hidden="1" r="394" s="1" spans="1:12">
      <c r="A394" s="4" t="n">
        <v>43124</v>
      </c>
      <c r="B394" t="s">
        <v>972</v>
      </c>
      <c r="C394" t="s">
        <v>973</v>
      </c>
      <c r="D394" t="s">
        <v>14</v>
      </c>
      <c r="E394" t="s">
        <v>15</v>
      </c>
      <c r="F394" t="s">
        <v>16</v>
      </c>
      <c r="G394" t="s">
        <v>972</v>
      </c>
      <c r="H394">
        <f>HYPERLINK("https://www.jouwictvacature.nl/solliciteren?job=software-engineer-5", "Link")</f>
        <v/>
      </c>
      <c r="I394" t="s">
        <v>17</v>
      </c>
      <c r="J394" t="s">
        <v>18</v>
      </c>
      <c r="K394" t="s">
        <v>974</v>
      </c>
      <c r="L394" t="s">
        <v>975</v>
      </c>
    </row>
    <row hidden="1" r="395" s="1" spans="1:12">
      <c r="A395" s="4" t="n">
        <v>43124</v>
      </c>
      <c r="B395" t="s">
        <v>486</v>
      </c>
      <c r="C395" t="s">
        <v>38</v>
      </c>
      <c r="D395" t="s">
        <v>245</v>
      </c>
      <c r="E395" t="s">
        <v>15</v>
      </c>
      <c r="F395" t="s">
        <v>28</v>
      </c>
      <c r="G395" t="s">
        <v>490</v>
      </c>
      <c r="H395">
        <f>HYPERLINK("https://www.jouwictvacature.nl/solliciteren?job=senior-java-developer-for-digital-signage-and-in-store-audio", "Link")</f>
        <v/>
      </c>
      <c r="I395" t="s">
        <v>17</v>
      </c>
      <c r="J395" t="s">
        <v>18</v>
      </c>
      <c r="K395" t="s">
        <v>491</v>
      </c>
      <c r="L395" t="s">
        <v>492</v>
      </c>
    </row>
    <row hidden="1" r="396" s="1" spans="1:12">
      <c r="A396" s="4" t="n">
        <v>43124</v>
      </c>
      <c r="B396" t="s">
        <v>218</v>
      </c>
      <c r="C396" t="s">
        <v>219</v>
      </c>
      <c r="D396" t="s">
        <v>22</v>
      </c>
      <c r="E396" t="s">
        <v>15</v>
      </c>
      <c r="F396" t="s">
        <v>28</v>
      </c>
      <c r="G396" t="s">
        <v>976</v>
      </c>
      <c r="H396">
        <f>HYPERLINK("https://www.jouwictvacature.nl/solliciteren?job=senior-full-stack-developer-bij-het-consultancyhuis-bij-het-consultanc", "Link")</f>
        <v/>
      </c>
      <c r="I396" t="s">
        <v>17</v>
      </c>
      <c r="J396" t="s">
        <v>18</v>
      </c>
      <c r="K396" t="s">
        <v>977</v>
      </c>
      <c r="L396" t="s">
        <v>978</v>
      </c>
    </row>
    <row hidden="1" r="397" s="1" spans="1:12">
      <c r="A397" s="4" t="n">
        <v>43124</v>
      </c>
      <c r="B397" t="s">
        <v>450</v>
      </c>
      <c r="C397" t="s">
        <v>451</v>
      </c>
      <c r="D397" t="s">
        <v>245</v>
      </c>
      <c r="E397" t="s">
        <v>15</v>
      </c>
      <c r="F397" t="s">
        <v>28</v>
      </c>
      <c r="G397" t="s">
        <v>452</v>
      </c>
      <c r="H397">
        <f>HYPERLINK("https://www.jouwictvacature.nl/solliciteren?job=senior-javaweb-developer-bij-sofico-bij-sofico", "Link")</f>
        <v/>
      </c>
      <c r="I397" t="s">
        <v>17</v>
      </c>
      <c r="J397" t="s">
        <v>18</v>
      </c>
      <c r="K397" t="s">
        <v>453</v>
      </c>
      <c r="L397" t="s">
        <v>454</v>
      </c>
    </row>
    <row hidden="1" r="398" s="1" spans="1:12">
      <c r="A398" s="4" t="n">
        <v>43124</v>
      </c>
      <c r="B398" t="s">
        <v>132</v>
      </c>
      <c r="C398" t="s">
        <v>93</v>
      </c>
      <c r="D398" t="s">
        <v>22</v>
      </c>
      <c r="E398" t="s">
        <v>15</v>
      </c>
      <c r="F398" t="s">
        <v>28</v>
      </c>
      <c r="G398" t="s">
        <v>979</v>
      </c>
      <c r="H398">
        <f>HYPERLINK("https://www.jouwictvacature.nl/solliciteren?job=senior-mendix-developer-bij-fintech", "Link")</f>
        <v/>
      </c>
      <c r="I398" t="s">
        <v>17</v>
      </c>
      <c r="J398" t="s">
        <v>18</v>
      </c>
      <c r="K398" t="s">
        <v>980</v>
      </c>
      <c r="L398" t="s">
        <v>981</v>
      </c>
    </row>
    <row hidden="1" r="399" s="1" spans="1:12">
      <c r="A399" s="4" t="n">
        <v>43124</v>
      </c>
      <c r="B399" t="s">
        <v>450</v>
      </c>
      <c r="C399" t="s">
        <v>451</v>
      </c>
      <c r="D399" t="s">
        <v>245</v>
      </c>
      <c r="E399" t="s">
        <v>15</v>
      </c>
      <c r="F399" t="s">
        <v>28</v>
      </c>
      <c r="G399" t="s">
        <v>982</v>
      </c>
      <c r="H399">
        <f>HYPERLINK("https://www.jouwictvacature.nl/solliciteren?job=senior-java-developer-bij-sofico-bij-sofico", "Link")</f>
        <v/>
      </c>
      <c r="I399" t="s">
        <v>17</v>
      </c>
      <c r="J399" t="s">
        <v>18</v>
      </c>
      <c r="K399" t="s">
        <v>777</v>
      </c>
      <c r="L399" t="s">
        <v>983</v>
      </c>
    </row>
    <row hidden="1" r="400" s="1" spans="1:12">
      <c r="A400" s="4" t="n">
        <v>43124</v>
      </c>
      <c r="B400" t="s">
        <v>71</v>
      </c>
      <c r="C400" t="s">
        <v>76</v>
      </c>
      <c r="D400" t="s">
        <v>22</v>
      </c>
      <c r="E400" t="s">
        <v>15</v>
      </c>
      <c r="F400" t="s">
        <v>16</v>
      </c>
      <c r="G400" t="s">
        <v>918</v>
      </c>
      <c r="H400">
        <f>HYPERLINK("https://www.jouwictvacature.nl/solliciteren?job=startende-agile-test-engineer-bij-bartosz-bij-bartosz-zwolle", "Link")</f>
        <v/>
      </c>
      <c r="I400" t="s">
        <v>17</v>
      </c>
      <c r="J400" t="s">
        <v>18</v>
      </c>
      <c r="K400" t="s">
        <v>608</v>
      </c>
      <c r="L400" t="s">
        <v>919</v>
      </c>
    </row>
    <row hidden="1" r="401" s="1" spans="1:12">
      <c r="A401" s="4" t="n">
        <v>43124</v>
      </c>
      <c r="B401" t="s">
        <v>156</v>
      </c>
      <c r="C401" t="s">
        <v>157</v>
      </c>
      <c r="D401" t="s">
        <v>22</v>
      </c>
      <c r="E401" t="s">
        <v>15</v>
      </c>
      <c r="F401" t="s">
        <v>34</v>
      </c>
      <c r="G401" t="s">
        <v>158</v>
      </c>
      <c r="H401">
        <f>HYPERLINK("https://www.jouwictvacature.nl/solliciteren?job=junior-java-developer-bij-devoteam-", "Link")</f>
        <v/>
      </c>
      <c r="I401" t="s">
        <v>17</v>
      </c>
      <c r="J401" t="s">
        <v>18</v>
      </c>
      <c r="K401" t="s">
        <v>159</v>
      </c>
      <c r="L401" t="s">
        <v>160</v>
      </c>
    </row>
    <row hidden="1" r="402" s="1" spans="1:12">
      <c r="A402" s="4" t="n">
        <v>43124</v>
      </c>
      <c r="B402" t="s">
        <v>174</v>
      </c>
      <c r="C402" t="s">
        <v>93</v>
      </c>
      <c r="D402" t="s">
        <v>22</v>
      </c>
      <c r="E402" t="s">
        <v>15</v>
      </c>
      <c r="F402" t="s">
        <v>52</v>
      </c>
      <c r="G402" t="s">
        <v>687</v>
      </c>
      <c r="H402">
        <f>HYPERLINK("https://www.jouwictvacature.nl/solliciteren?job=medior-java-developer--hibernate-jpa-spring-mvc-oracle-bij-dpa-geos-4", "Link")</f>
        <v/>
      </c>
      <c r="I402" t="s">
        <v>17</v>
      </c>
      <c r="J402" t="s">
        <v>18</v>
      </c>
      <c r="K402" t="s">
        <v>179</v>
      </c>
      <c r="L402" t="s">
        <v>984</v>
      </c>
    </row>
    <row hidden="1" r="403" s="1" spans="1:12">
      <c r="A403" s="4" t="n">
        <v>43124</v>
      </c>
      <c r="B403" t="s">
        <v>985</v>
      </c>
      <c r="C403" t="s">
        <v>986</v>
      </c>
      <c r="D403" t="s">
        <v>245</v>
      </c>
      <c r="E403" t="s">
        <v>15</v>
      </c>
      <c r="F403" t="s">
        <v>16</v>
      </c>
      <c r="G403" t="s">
        <v>987</v>
      </c>
      <c r="H403">
        <f>HYPERLINK("https://www.jouwictvacature.nl/solliciteren?job=back-end-mooier-beter-sneller", "Link")</f>
        <v/>
      </c>
      <c r="I403" t="s">
        <v>17</v>
      </c>
      <c r="J403" t="s">
        <v>18</v>
      </c>
      <c r="K403" t="s">
        <v>988</v>
      </c>
      <c r="L403" t="s">
        <v>989</v>
      </c>
    </row>
    <row hidden="1" r="404" s="1" spans="1:12">
      <c r="A404" s="4" t="n">
        <v>43124</v>
      </c>
      <c r="B404" t="s">
        <v>109</v>
      </c>
      <c r="C404" t="s">
        <v>112</v>
      </c>
      <c r="D404" t="s">
        <v>22</v>
      </c>
      <c r="E404" t="s">
        <v>15</v>
      </c>
      <c r="F404" t="s">
        <v>16</v>
      </c>
      <c r="G404" t="s">
        <v>109</v>
      </c>
      <c r="H404">
        <f>HYPERLINK("https://www.jouwictvacature.nl/solliciteren?job=senior-net-developer-bij-bloemert-groep", "Link")</f>
        <v/>
      </c>
      <c r="I404" t="s">
        <v>17</v>
      </c>
      <c r="J404" t="s">
        <v>18</v>
      </c>
      <c r="K404" t="s">
        <v>990</v>
      </c>
      <c r="L404" t="s">
        <v>991</v>
      </c>
    </row>
    <row hidden="1" r="405" s="1" spans="1:12">
      <c r="A405" s="4" t="n">
        <v>43124</v>
      </c>
      <c r="B405" t="s">
        <v>104</v>
      </c>
      <c r="C405" t="s">
        <v>80</v>
      </c>
      <c r="D405" t="s">
        <v>22</v>
      </c>
      <c r="E405" t="s">
        <v>15</v>
      </c>
      <c r="F405" t="s">
        <v>16</v>
      </c>
      <c r="G405" t="s">
        <v>104</v>
      </c>
      <c r="H405">
        <f>HYPERLINK("https://www.jouwictvacature.nl/solliciteren?job=medior-net-ontwikkelaar-bij-betabit-regio-amsterdam", "Link")</f>
        <v/>
      </c>
      <c r="I405" t="s">
        <v>17</v>
      </c>
      <c r="J405" t="s">
        <v>18</v>
      </c>
      <c r="K405" t="s">
        <v>992</v>
      </c>
      <c r="L405" t="s">
        <v>993</v>
      </c>
    </row>
    <row hidden="1" r="406" s="1" spans="1:12">
      <c r="A406" s="4" t="n">
        <v>43124</v>
      </c>
      <c r="B406" t="s">
        <v>693</v>
      </c>
      <c r="C406" t="s">
        <v>694</v>
      </c>
      <c r="D406" t="s">
        <v>22</v>
      </c>
      <c r="E406" t="s">
        <v>15</v>
      </c>
      <c r="F406" t="s">
        <v>16</v>
      </c>
      <c r="G406" t="s">
        <v>693</v>
      </c>
      <c r="H406">
        <f>HYPERLINK("https://www.jouwictvacature.nl/solliciteren?job=mendix-developer", "Link")</f>
        <v/>
      </c>
      <c r="I406" t="s">
        <v>17</v>
      </c>
      <c r="J406" t="s">
        <v>18</v>
      </c>
      <c r="K406" t="s">
        <v>994</v>
      </c>
      <c r="L406" t="s">
        <v>995</v>
      </c>
    </row>
    <row hidden="1" r="407" s="1" spans="1:12">
      <c r="A407" s="4" t="n">
        <v>43124</v>
      </c>
      <c r="B407" t="s">
        <v>37</v>
      </c>
      <c r="C407" t="s">
        <v>38</v>
      </c>
      <c r="D407" t="s">
        <v>22</v>
      </c>
      <c r="E407" t="s">
        <v>15</v>
      </c>
      <c r="F407" t="s">
        <v>28</v>
      </c>
      <c r="G407" t="s">
        <v>996</v>
      </c>
      <c r="H407">
        <f>HYPERLINK("https://www.jouwictvacature.nl/solliciteren?job=senior-javascript-developer-bij-advitrae", "Link")</f>
        <v/>
      </c>
      <c r="I407" t="s">
        <v>17</v>
      </c>
      <c r="J407" t="s">
        <v>18</v>
      </c>
      <c r="K407" t="s">
        <v>40</v>
      </c>
      <c r="L407" t="s">
        <v>997</v>
      </c>
    </row>
    <row hidden="1" r="408" s="1" spans="1:12">
      <c r="A408" s="4" t="n">
        <v>43124</v>
      </c>
      <c r="B408" t="s">
        <v>455</v>
      </c>
      <c r="C408" t="s">
        <v>456</v>
      </c>
      <c r="D408" t="s">
        <v>245</v>
      </c>
      <c r="E408" t="s">
        <v>15</v>
      </c>
      <c r="F408" t="s">
        <v>16</v>
      </c>
      <c r="G408" t="s">
        <v>998</v>
      </c>
      <c r="H408">
        <f>HYPERLINK("https://www.jouwictvacature.nl/solliciteren?job=senior-net-engineer-bij-sogeti-6", "Link")</f>
        <v/>
      </c>
      <c r="I408" t="s">
        <v>17</v>
      </c>
      <c r="J408" t="s">
        <v>18</v>
      </c>
      <c r="K408" t="s">
        <v>466</v>
      </c>
      <c r="L408" t="s">
        <v>999</v>
      </c>
    </row>
    <row hidden="1" r="409" s="1" spans="1:12">
      <c r="A409" s="4" t="n">
        <v>43124</v>
      </c>
      <c r="B409" t="s">
        <v>437</v>
      </c>
      <c r="C409" t="s">
        <v>438</v>
      </c>
      <c r="D409" t="s">
        <v>245</v>
      </c>
      <c r="E409" t="s">
        <v>15</v>
      </c>
      <c r="F409" t="s">
        <v>16</v>
      </c>
      <c r="G409" t="s">
        <v>616</v>
      </c>
      <c r="H409">
        <f>HYPERLINK("https://www.jouwictvacature.nl/solliciteren?job=net-developer--2", "Link")</f>
        <v/>
      </c>
      <c r="I409" t="s">
        <v>17</v>
      </c>
      <c r="J409" t="s">
        <v>18</v>
      </c>
      <c r="K409" t="s">
        <v>440</v>
      </c>
      <c r="L409" t="s">
        <v>617</v>
      </c>
    </row>
    <row hidden="1" r="410" s="1" spans="1:12">
      <c r="A410" s="4" t="n">
        <v>43124</v>
      </c>
      <c r="B410" t="s">
        <v>1000</v>
      </c>
      <c r="C410" t="s">
        <v>1001</v>
      </c>
      <c r="D410" t="s">
        <v>22</v>
      </c>
      <c r="E410" t="s">
        <v>15</v>
      </c>
      <c r="F410" t="s">
        <v>16</v>
      </c>
      <c r="G410" t="s">
        <v>1000</v>
      </c>
      <c r="H410">
        <f>HYPERLINK("https://www.jouwictvacature.nl/solliciteren?job=backend-software-developer-bij-bwaste-international-bv-in-eefde", "Link")</f>
        <v/>
      </c>
      <c r="I410" t="s">
        <v>17</v>
      </c>
      <c r="J410" t="s">
        <v>18</v>
      </c>
      <c r="K410" t="s">
        <v>1002</v>
      </c>
      <c r="L410" t="s">
        <v>1003</v>
      </c>
    </row>
    <row hidden="1" r="411" s="1" spans="1:12">
      <c r="A411" s="4" t="n">
        <v>43124</v>
      </c>
      <c r="B411" t="s">
        <v>104</v>
      </c>
      <c r="C411" t="s">
        <v>93</v>
      </c>
      <c r="D411" t="s">
        <v>22</v>
      </c>
      <c r="E411" t="s">
        <v>15</v>
      </c>
      <c r="F411" t="s">
        <v>16</v>
      </c>
      <c r="G411" t="s">
        <v>104</v>
      </c>
      <c r="H411">
        <f>HYPERLINK("https://www.jouwictvacature.nl/solliciteren?job=microsoft-net-lead-developer-regio-rotterdam", "Link")</f>
        <v/>
      </c>
      <c r="I411" t="s">
        <v>17</v>
      </c>
      <c r="J411" t="s">
        <v>18</v>
      </c>
      <c r="K411" t="s">
        <v>1004</v>
      </c>
      <c r="L411" t="s">
        <v>1005</v>
      </c>
    </row>
    <row hidden="1" r="412" s="1" spans="1:12">
      <c r="A412" s="4" t="n">
        <v>43124</v>
      </c>
      <c r="B412" t="s">
        <v>865</v>
      </c>
      <c r="C412" t="s">
        <v>866</v>
      </c>
      <c r="D412" t="s">
        <v>245</v>
      </c>
      <c r="E412" t="s">
        <v>15</v>
      </c>
      <c r="F412" t="s">
        <v>16</v>
      </c>
      <c r="G412" t="s">
        <v>865</v>
      </c>
      <c r="H412">
        <f>HYPERLINK("https://www.jouwictvacature.nl/solliciteren?job=senior-accountmanager-erp-bij-ridder-data-systems", "Link")</f>
        <v/>
      </c>
      <c r="I412" t="s">
        <v>17</v>
      </c>
      <c r="J412" t="s">
        <v>18</v>
      </c>
      <c r="K412" t="s">
        <v>1006</v>
      </c>
      <c r="L412" t="s">
        <v>1007</v>
      </c>
    </row>
    <row hidden="1" r="413" s="1" spans="1:12">
      <c r="A413" s="4" t="n">
        <v>43124</v>
      </c>
      <c r="B413" t="s">
        <v>878</v>
      </c>
      <c r="C413" t="s">
        <v>591</v>
      </c>
      <c r="D413" t="s">
        <v>22</v>
      </c>
      <c r="E413" t="s">
        <v>15</v>
      </c>
      <c r="F413" t="s">
        <v>52</v>
      </c>
      <c r="G413" t="s">
        <v>301</v>
      </c>
      <c r="H413">
        <f>HYPERLINK("https://www.jouwictvacature.nl/solliciteren?job=medior-php-developer-bij-divtag", "Link")</f>
        <v/>
      </c>
      <c r="I413" t="s">
        <v>17</v>
      </c>
      <c r="J413" t="s">
        <v>18</v>
      </c>
      <c r="K413" t="s">
        <v>879</v>
      </c>
      <c r="L413" t="s">
        <v>880</v>
      </c>
    </row>
    <row r="414" spans="1:12">
      <c r="A414" s="4" t="n">
        <v>43124</v>
      </c>
      <c r="B414" t="s">
        <v>889</v>
      </c>
      <c r="C414" t="s">
        <v>80</v>
      </c>
      <c r="D414" t="s">
        <v>14</v>
      </c>
      <c r="E414" t="s">
        <v>51</v>
      </c>
      <c r="F414" t="s">
        <v>28</v>
      </c>
      <c r="G414" t="s">
        <v>1008</v>
      </c>
      <c r="H414">
        <f>HYPERLINK("https://www.jouwictvacature.nl/solliciteren?job=senior-php-developer-bij-lightspeed", "Link")</f>
        <v/>
      </c>
      <c r="I414" t="s">
        <v>17</v>
      </c>
      <c r="J414" t="s">
        <v>18</v>
      </c>
      <c r="K414" t="s">
        <v>891</v>
      </c>
      <c r="L414" t="s">
        <v>1009</v>
      </c>
    </row>
    <row hidden="1" r="415" s="1" spans="1:12">
      <c r="A415" s="4" t="n">
        <v>43124</v>
      </c>
      <c r="B415" t="s">
        <v>293</v>
      </c>
      <c r="C415" t="s">
        <v>294</v>
      </c>
      <c r="D415" t="s">
        <v>14</v>
      </c>
      <c r="E415" t="s">
        <v>15</v>
      </c>
      <c r="F415" t="s">
        <v>28</v>
      </c>
      <c r="G415" t="s">
        <v>295</v>
      </c>
      <c r="H415">
        <f>HYPERLINK("https://www.jouwictvacature.nl/solliciteren?job=senior-php-developer--fulltime-bij-koekenpeer", "Link")</f>
        <v/>
      </c>
      <c r="I415" t="s">
        <v>17</v>
      </c>
      <c r="J415" t="s">
        <v>18</v>
      </c>
      <c r="K415" t="s">
        <v>296</v>
      </c>
      <c r="L415" t="s">
        <v>297</v>
      </c>
    </row>
    <row hidden="1" r="416" s="1" spans="1:12">
      <c r="A416" s="4" t="n">
        <v>43124</v>
      </c>
      <c r="B416" t="s">
        <v>478</v>
      </c>
      <c r="C416" t="s">
        <v>479</v>
      </c>
      <c r="D416" t="s">
        <v>245</v>
      </c>
      <c r="E416" t="s">
        <v>15</v>
      </c>
      <c r="F416" t="s">
        <v>16</v>
      </c>
      <c r="G416" t="s">
        <v>1010</v>
      </c>
      <c r="H416">
        <f>HYPERLINK("https://www.jouwictvacature.nl/solliciteren?job=gedreven-junior-zend-developer-bij-square", "Link")</f>
        <v/>
      </c>
      <c r="I416" t="s">
        <v>17</v>
      </c>
      <c r="J416" t="s">
        <v>18</v>
      </c>
      <c r="K416" t="s">
        <v>1011</v>
      </c>
      <c r="L416" t="s">
        <v>1012</v>
      </c>
    </row>
    <row hidden="1" r="417" s="1" spans="1:12">
      <c r="A417" s="4" t="n">
        <v>43124</v>
      </c>
      <c r="B417" t="s">
        <v>1013</v>
      </c>
      <c r="C417" t="s">
        <v>1014</v>
      </c>
      <c r="D417" t="s">
        <v>14</v>
      </c>
      <c r="E417" t="s">
        <v>15</v>
      </c>
      <c r="F417" t="s">
        <v>34</v>
      </c>
      <c r="G417" t="s">
        <v>1015</v>
      </c>
      <c r="H417">
        <f>HYPERLINK("https://www.jouwictvacature.nl/solliciteren?job=junior-web-developer-4", "Link")</f>
        <v/>
      </c>
      <c r="I417" t="s">
        <v>17</v>
      </c>
      <c r="J417" t="s">
        <v>18</v>
      </c>
      <c r="K417" t="s">
        <v>1016</v>
      </c>
      <c r="L417" t="s">
        <v>1017</v>
      </c>
    </row>
    <row hidden="1" r="418" s="1" spans="1:12">
      <c r="A418" s="4" t="n">
        <v>43124</v>
      </c>
      <c r="B418" t="s">
        <v>881</v>
      </c>
      <c r="C418" t="s">
        <v>428</v>
      </c>
      <c r="D418" t="s">
        <v>22</v>
      </c>
      <c r="E418" t="s">
        <v>15</v>
      </c>
      <c r="F418" t="s">
        <v>52</v>
      </c>
      <c r="G418" t="s">
        <v>1018</v>
      </c>
      <c r="H418">
        <f>HYPERLINK("https://www.jouwictvacature.nl/solliciteren?job=medior-laravel-php-developer-bij-cepo", "Link")</f>
        <v/>
      </c>
      <c r="I418" t="s">
        <v>17</v>
      </c>
      <c r="J418" t="s">
        <v>18</v>
      </c>
      <c r="K418" t="s">
        <v>883</v>
      </c>
      <c r="L418" t="s">
        <v>1019</v>
      </c>
    </row>
    <row hidden="1" r="419" s="1" spans="1:12">
      <c r="A419" s="4" t="n">
        <v>43124</v>
      </c>
      <c r="B419" t="s">
        <v>1020</v>
      </c>
      <c r="C419" t="s">
        <v>1021</v>
      </c>
      <c r="D419" t="s">
        <v>245</v>
      </c>
      <c r="E419" t="s">
        <v>15</v>
      </c>
      <c r="F419" t="s">
        <v>16</v>
      </c>
      <c r="G419" t="s">
        <v>1022</v>
      </c>
      <c r="H419">
        <f>HYPERLINK("https://www.jouwictvacature.nl/solliciteren?job=web-developer-junior-bij-the-fuel-company", "Link")</f>
        <v/>
      </c>
      <c r="I419" t="s">
        <v>17</v>
      </c>
      <c r="J419" t="s">
        <v>18</v>
      </c>
      <c r="K419" t="s">
        <v>1023</v>
      </c>
      <c r="L419" t="s">
        <v>1024</v>
      </c>
    </row>
    <row hidden="1" r="420" s="1" spans="1:12">
      <c r="A420" s="4" t="n">
        <v>43124</v>
      </c>
      <c r="B420" t="s">
        <v>317</v>
      </c>
      <c r="C420" t="s">
        <v>45</v>
      </c>
      <c r="D420" t="s">
        <v>14</v>
      </c>
      <c r="E420" t="s">
        <v>15</v>
      </c>
      <c r="F420" t="s">
        <v>34</v>
      </c>
      <c r="G420" t="s">
        <v>363</v>
      </c>
      <c r="H420">
        <f>HYPERLINK("https://www.jouwictvacature.nl/solliciteren?job=junior-javascript-developer-3", "Link")</f>
        <v/>
      </c>
      <c r="I420" t="s">
        <v>17</v>
      </c>
      <c r="J420" t="s">
        <v>18</v>
      </c>
      <c r="K420" t="s">
        <v>319</v>
      </c>
      <c r="L420" t="s">
        <v>1025</v>
      </c>
    </row>
    <row hidden="1" r="421" s="1" spans="1:12">
      <c r="A421" s="4" t="n">
        <v>43124</v>
      </c>
      <c r="B421" t="s">
        <v>365</v>
      </c>
      <c r="C421" t="s">
        <v>366</v>
      </c>
      <c r="D421" t="s">
        <v>14</v>
      </c>
      <c r="E421" t="s">
        <v>15</v>
      </c>
      <c r="F421" t="s">
        <v>16</v>
      </c>
      <c r="G421" t="s">
        <v>365</v>
      </c>
      <c r="H421">
        <f>HYPERLINK("https://www.jouwictvacature.nl/solliciteren?job=junior-laravel-programmeur-bij-not-on-paper", "Link")</f>
        <v/>
      </c>
      <c r="I421" t="s">
        <v>17</v>
      </c>
      <c r="J421" t="s">
        <v>18</v>
      </c>
      <c r="K421" t="s">
        <v>367</v>
      </c>
      <c r="L421" t="s">
        <v>951</v>
      </c>
    </row>
    <row hidden="1" r="422" s="1" spans="1:12">
      <c r="A422" s="4" t="n">
        <v>43124</v>
      </c>
      <c r="B422" t="s">
        <v>1026</v>
      </c>
      <c r="C422" t="s">
        <v>1027</v>
      </c>
      <c r="D422" t="s">
        <v>245</v>
      </c>
      <c r="E422" t="s">
        <v>15</v>
      </c>
      <c r="F422" t="s">
        <v>16</v>
      </c>
      <c r="G422" t="s">
        <v>1028</v>
      </c>
      <c r="H422">
        <f>HYPERLINK("https://www.jouwictvacature.nl/solliciteren?job=mediorphp-developer-bij-xl-shop-group-", "Link")</f>
        <v/>
      </c>
      <c r="I422" t="s">
        <v>17</v>
      </c>
      <c r="J422" t="s">
        <v>18</v>
      </c>
      <c r="K422" t="s">
        <v>1029</v>
      </c>
      <c r="L422" t="s">
        <v>1030</v>
      </c>
    </row>
    <row hidden="1" r="423" s="1" spans="1:12">
      <c r="A423" s="4" t="n">
        <v>43124</v>
      </c>
      <c r="B423" t="s">
        <v>823</v>
      </c>
      <c r="C423" t="s">
        <v>806</v>
      </c>
      <c r="D423" t="s">
        <v>22</v>
      </c>
      <c r="E423" t="s">
        <v>15</v>
      </c>
      <c r="F423" t="s">
        <v>16</v>
      </c>
      <c r="G423" t="s">
        <v>823</v>
      </c>
      <c r="H423">
        <f>HYPERLINK("https://www.jouwictvacature.nl/solliciteren?job=medior-front-end-developer-bij-appmachine-", "Link")</f>
        <v/>
      </c>
      <c r="I423" t="s">
        <v>17</v>
      </c>
      <c r="J423" t="s">
        <v>18</v>
      </c>
      <c r="K423" t="s">
        <v>1031</v>
      </c>
      <c r="L423" t="s">
        <v>1032</v>
      </c>
    </row>
    <row hidden="1" r="424" s="1" spans="1:12">
      <c r="A424" s="4" t="n">
        <v>43124</v>
      </c>
      <c r="B424" t="s">
        <v>753</v>
      </c>
      <c r="C424" t="s">
        <v>309</v>
      </c>
      <c r="D424" t="s">
        <v>22</v>
      </c>
      <c r="E424" t="s">
        <v>15</v>
      </c>
      <c r="F424" t="s">
        <v>16</v>
      </c>
      <c r="G424" t="s">
        <v>753</v>
      </c>
      <c r="H424">
        <f>HYPERLINK("https://www.jouwictvacature.nl/solliciteren?job=senior-allround-designer-bij-creabea", "Link")</f>
        <v/>
      </c>
      <c r="I424" t="s">
        <v>17</v>
      </c>
      <c r="J424" t="s">
        <v>18</v>
      </c>
      <c r="K424" t="s">
        <v>754</v>
      </c>
      <c r="L424" t="s">
        <v>755</v>
      </c>
    </row>
    <row r="425" spans="1:12">
      <c r="A425" s="4" t="n">
        <v>43124</v>
      </c>
      <c r="B425" t="s">
        <v>1033</v>
      </c>
      <c r="C425" t="s">
        <v>62</v>
      </c>
      <c r="D425" t="s">
        <v>245</v>
      </c>
      <c r="E425" t="s">
        <v>51</v>
      </c>
      <c r="F425" t="s">
        <v>16</v>
      </c>
      <c r="G425" t="s">
        <v>1033</v>
      </c>
      <c r="H425">
        <f>HYPERLINK("https://www.jouwictvacature.nl/solliciteren?job=senior-front-end-developer-bij-stackstate", "Link")</f>
        <v/>
      </c>
      <c r="I425" t="s">
        <v>17</v>
      </c>
      <c r="J425" t="s">
        <v>18</v>
      </c>
      <c r="K425" t="s">
        <v>1034</v>
      </c>
      <c r="L425" t="s">
        <v>1035</v>
      </c>
    </row>
    <row hidden="1" r="426" s="1" spans="1:12">
      <c r="A426" s="4" t="n">
        <v>43124</v>
      </c>
      <c r="B426" t="s">
        <v>546</v>
      </c>
      <c r="C426" t="s">
        <v>547</v>
      </c>
      <c r="D426" t="s">
        <v>245</v>
      </c>
      <c r="E426" t="s">
        <v>15</v>
      </c>
      <c r="F426" t="s">
        <v>28</v>
      </c>
      <c r="G426" t="s">
        <v>548</v>
      </c>
      <c r="H426">
        <f>HYPERLINK("https://www.jouwictvacature.nl/solliciteren?job=senior-front-end-developer-6", "Link")</f>
        <v/>
      </c>
      <c r="I426" t="s">
        <v>17</v>
      </c>
      <c r="J426" t="s">
        <v>18</v>
      </c>
      <c r="K426" t="s">
        <v>549</v>
      </c>
      <c r="L426" t="s">
        <v>550</v>
      </c>
    </row>
    <row hidden="1" r="427" s="1" spans="1:12">
      <c r="A427" s="4" t="n">
        <v>43124</v>
      </c>
      <c r="B427" t="s">
        <v>1036</v>
      </c>
      <c r="C427" t="s">
        <v>1037</v>
      </c>
      <c r="D427" t="s">
        <v>14</v>
      </c>
      <c r="E427" t="s">
        <v>15</v>
      </c>
      <c r="F427" t="s">
        <v>34</v>
      </c>
      <c r="G427" t="s">
        <v>1038</v>
      </c>
      <c r="H427">
        <f>HYPERLINK("https://www.jouwictvacature.nl/solliciteren?job=junior-fullstack-developer-bij-onsweb", "Link")</f>
        <v/>
      </c>
      <c r="I427" t="s">
        <v>17</v>
      </c>
      <c r="J427" t="s">
        <v>18</v>
      </c>
      <c r="K427" t="s">
        <v>1039</v>
      </c>
      <c r="L427" t="s">
        <v>1040</v>
      </c>
    </row>
    <row hidden="1" r="428" s="1" spans="1:12">
      <c r="A428" s="4" t="n">
        <v>43124</v>
      </c>
      <c r="B428" t="s">
        <v>958</v>
      </c>
      <c r="C428" t="s">
        <v>959</v>
      </c>
      <c r="D428" t="s">
        <v>245</v>
      </c>
      <c r="E428" t="s">
        <v>15</v>
      </c>
      <c r="F428" t="s">
        <v>16</v>
      </c>
      <c r="G428" t="s">
        <v>958</v>
      </c>
      <c r="H428">
        <f>HYPERLINK("https://www.jouwictvacature.nl/solliciteren?job=front-end-developer-bij-codarts-hogeschool-voor-de-kunsten", "Link")</f>
        <v/>
      </c>
      <c r="I428" t="s">
        <v>17</v>
      </c>
      <c r="J428" t="s">
        <v>18</v>
      </c>
      <c r="K428" t="s">
        <v>960</v>
      </c>
      <c r="L428" t="s">
        <v>1041</v>
      </c>
    </row>
    <row hidden="1" r="429" s="1" spans="1:12">
      <c r="A429" s="4" t="n">
        <v>43124</v>
      </c>
      <c r="B429" t="s">
        <v>1042</v>
      </c>
      <c r="C429" t="s">
        <v>50</v>
      </c>
      <c r="D429" t="s">
        <v>22</v>
      </c>
      <c r="E429" t="s">
        <v>15</v>
      </c>
      <c r="F429" t="s">
        <v>52</v>
      </c>
      <c r="G429" t="s">
        <v>1043</v>
      </c>
      <c r="H429">
        <f>HYPERLINK("https://www.jouwictvacature.nl/solliciteren?job=medior-front-end-developer-met-reactjs-ervaring-bij-bkv-groep", "Link")</f>
        <v/>
      </c>
      <c r="I429" t="s">
        <v>17</v>
      </c>
      <c r="J429" t="s">
        <v>18</v>
      </c>
      <c r="K429" t="s">
        <v>1044</v>
      </c>
      <c r="L429" t="s">
        <v>1045</v>
      </c>
    </row>
    <row hidden="1" r="430" s="1" spans="1:12">
      <c r="A430" s="4" t="n">
        <v>43124</v>
      </c>
      <c r="B430" t="s">
        <v>304</v>
      </c>
      <c r="C430" t="s">
        <v>305</v>
      </c>
      <c r="D430" t="s">
        <v>14</v>
      </c>
      <c r="E430" t="s">
        <v>15</v>
      </c>
      <c r="F430" t="s">
        <v>16</v>
      </c>
      <c r="G430" t="s">
        <v>304</v>
      </c>
      <c r="H430">
        <f>HYPERLINK("https://www.jouwictvacature.nl/solliciteren?job=medior-front-end-developer-bij-ksyos-bij-ksyos", "Link")</f>
        <v/>
      </c>
      <c r="I430" t="s">
        <v>17</v>
      </c>
      <c r="J430" t="s">
        <v>18</v>
      </c>
      <c r="K430" t="s">
        <v>1046</v>
      </c>
      <c r="L430" t="s">
        <v>1047</v>
      </c>
    </row>
    <row r="431" spans="1:12">
      <c r="A431" s="4" t="n">
        <v>43124</v>
      </c>
      <c r="B431" t="s">
        <v>963</v>
      </c>
      <c r="C431" t="s">
        <v>38</v>
      </c>
      <c r="D431" t="s">
        <v>14</v>
      </c>
      <c r="E431" t="s">
        <v>51</v>
      </c>
      <c r="F431" t="s">
        <v>28</v>
      </c>
      <c r="G431" t="s">
        <v>1048</v>
      </c>
      <c r="H431">
        <f>HYPERLINK("https://www.jouwictvacature.nl/solliciteren?job=senior-software-engineer-focus-on-front-end", "Link")</f>
        <v/>
      </c>
      <c r="I431" t="s">
        <v>17</v>
      </c>
      <c r="J431" t="s">
        <v>18</v>
      </c>
      <c r="K431" t="s">
        <v>965</v>
      </c>
      <c r="L431" t="s">
        <v>1049</v>
      </c>
    </row>
    <row hidden="1" r="432" s="1" spans="1:12">
      <c r="A432" s="4" t="n">
        <v>43124</v>
      </c>
      <c r="B432" t="s">
        <v>546</v>
      </c>
      <c r="C432" t="s">
        <v>547</v>
      </c>
      <c r="D432" t="s">
        <v>245</v>
      </c>
      <c r="E432" t="s">
        <v>15</v>
      </c>
      <c r="F432" t="s">
        <v>34</v>
      </c>
      <c r="G432" t="s">
        <v>551</v>
      </c>
      <c r="H432">
        <f>HYPERLINK("https://www.jouwictvacature.nl/solliciteren?job=junior-front-end-developer-bij-u-lab", "Link")</f>
        <v/>
      </c>
      <c r="I432" t="s">
        <v>17</v>
      </c>
      <c r="J432" t="s">
        <v>18</v>
      </c>
      <c r="K432" t="s">
        <v>549</v>
      </c>
      <c r="L432" t="s">
        <v>552</v>
      </c>
    </row>
    <row hidden="1" r="433" s="1" spans="1:12">
      <c r="A433" s="4" t="n">
        <v>43124</v>
      </c>
      <c r="B433" t="s">
        <v>771</v>
      </c>
      <c r="C433" t="s">
        <v>137</v>
      </c>
      <c r="D433" t="s">
        <v>22</v>
      </c>
      <c r="E433" t="s">
        <v>15</v>
      </c>
      <c r="F433" t="s">
        <v>16</v>
      </c>
      <c r="G433" t="s">
        <v>771</v>
      </c>
      <c r="H433">
        <f>HYPERLINK("https://www.jouwictvacature.nl/solliciteren?job=software-developer-bij-bgenius-in-groningen", "Link")</f>
        <v/>
      </c>
      <c r="I433" t="s">
        <v>17</v>
      </c>
      <c r="J433" t="s">
        <v>18</v>
      </c>
      <c r="K433" t="s">
        <v>772</v>
      </c>
      <c r="L433" t="s">
        <v>773</v>
      </c>
    </row>
    <row hidden="1" r="434" s="1" spans="1:12">
      <c r="A434" s="4" t="n">
        <v>43124</v>
      </c>
      <c r="B434" t="s">
        <v>115</v>
      </c>
      <c r="C434" t="s">
        <v>62</v>
      </c>
      <c r="D434" t="s">
        <v>22</v>
      </c>
      <c r="E434" t="s">
        <v>15</v>
      </c>
      <c r="F434" t="s">
        <v>34</v>
      </c>
      <c r="G434" t="s">
        <v>1050</v>
      </c>
      <c r="H434">
        <f>HYPERLINK("https://www.jouwictvacature.nl/solliciteren?job=junior-java-spring-developer-bij-bottomline", "Link")</f>
        <v/>
      </c>
      <c r="I434" t="s">
        <v>17</v>
      </c>
      <c r="J434" t="s">
        <v>18</v>
      </c>
      <c r="K434" t="s">
        <v>121</v>
      </c>
      <c r="L434" t="s">
        <v>1051</v>
      </c>
    </row>
    <row hidden="1" r="435" s="1" spans="1:12">
      <c r="A435" s="4" t="n">
        <v>43124</v>
      </c>
      <c r="B435" t="s">
        <v>174</v>
      </c>
      <c r="C435" t="s">
        <v>80</v>
      </c>
      <c r="D435" t="s">
        <v>22</v>
      </c>
      <c r="E435" t="s">
        <v>15</v>
      </c>
      <c r="F435" t="s">
        <v>28</v>
      </c>
      <c r="G435" t="s">
        <v>1052</v>
      </c>
      <c r="H435">
        <f>HYPERLINK("https://www.jouwictvacature.nl/solliciteren?job=senior-java-full-stack-developer--ios-phonegap-objective-c-swift-bij-d-2", "Link")</f>
        <v/>
      </c>
      <c r="I435" t="s">
        <v>17</v>
      </c>
      <c r="J435" t="s">
        <v>18</v>
      </c>
      <c r="K435" t="s">
        <v>176</v>
      </c>
      <c r="L435" t="s">
        <v>1053</v>
      </c>
    </row>
    <row hidden="1" r="436" s="1" spans="1:12">
      <c r="A436" s="4" t="n">
        <v>43124</v>
      </c>
      <c r="B436" t="s">
        <v>564</v>
      </c>
      <c r="C436" t="s">
        <v>62</v>
      </c>
      <c r="D436" t="s">
        <v>245</v>
      </c>
      <c r="E436" t="s">
        <v>15</v>
      </c>
      <c r="F436" t="s">
        <v>52</v>
      </c>
      <c r="G436" t="s">
        <v>1054</v>
      </c>
      <c r="H436">
        <f>HYPERLINK("https://www.jouwictvacature.nl/solliciteren?job=medior-software-tester-bij-volant-groep-in-gouda-bij-volant-groep", "Link")</f>
        <v/>
      </c>
      <c r="I436" t="s">
        <v>17</v>
      </c>
      <c r="J436" t="s">
        <v>18</v>
      </c>
      <c r="K436" t="s">
        <v>1055</v>
      </c>
      <c r="L436" t="s">
        <v>1056</v>
      </c>
    </row>
    <row hidden="1" r="437" s="1" spans="1:12">
      <c r="A437" s="4" t="n">
        <v>43124</v>
      </c>
      <c r="B437" t="s">
        <v>174</v>
      </c>
      <c r="C437" t="s">
        <v>62</v>
      </c>
      <c r="D437" t="s">
        <v>22</v>
      </c>
      <c r="E437" t="s">
        <v>15</v>
      </c>
      <c r="F437" t="s">
        <v>28</v>
      </c>
      <c r="G437" t="s">
        <v>1057</v>
      </c>
      <c r="H437">
        <f>HYPERLINK("https://www.jouwictvacature.nl/solliciteren?job=senior-java-backend-developer-bij-dpa-geos-bij-dpa-geos", "Link")</f>
        <v/>
      </c>
      <c r="I437" t="s">
        <v>17</v>
      </c>
      <c r="J437" t="s">
        <v>18</v>
      </c>
      <c r="K437" t="s">
        <v>179</v>
      </c>
      <c r="L437" t="s">
        <v>1058</v>
      </c>
    </row>
    <row hidden="1" r="438" s="1" spans="1:12">
      <c r="A438" s="4" t="n">
        <v>43124</v>
      </c>
      <c r="B438" t="s">
        <v>71</v>
      </c>
      <c r="C438" t="s">
        <v>62</v>
      </c>
      <c r="D438" t="s">
        <v>22</v>
      </c>
      <c r="E438" t="s">
        <v>15</v>
      </c>
      <c r="F438" t="s">
        <v>28</v>
      </c>
      <c r="G438" t="s">
        <v>88</v>
      </c>
      <c r="H438">
        <f>HYPERLINK("https://www.jouwictvacature.nl/solliciteren?job=senior-feedback-engineer-bij-bartosz-bij-bartosz-utrecht", "Link")</f>
        <v/>
      </c>
      <c r="I438" t="s">
        <v>17</v>
      </c>
      <c r="J438" t="s">
        <v>18</v>
      </c>
      <c r="K438" t="s">
        <v>78</v>
      </c>
      <c r="L438" t="s">
        <v>89</v>
      </c>
    </row>
    <row hidden="1" r="439" s="1" spans="1:12">
      <c r="A439" s="4" t="n">
        <v>43124</v>
      </c>
      <c r="B439" t="s">
        <v>71</v>
      </c>
      <c r="C439" t="s">
        <v>62</v>
      </c>
      <c r="D439" t="s">
        <v>22</v>
      </c>
      <c r="E439" t="s">
        <v>15</v>
      </c>
      <c r="F439" t="s">
        <v>34</v>
      </c>
      <c r="G439" t="s">
        <v>97</v>
      </c>
      <c r="H439">
        <f>HYPERLINK("https://www.jouwictvacature.nl/solliciteren?job=junior-testanalist-bij-bartosz-bij-bartosz-utrecht", "Link")</f>
        <v/>
      </c>
      <c r="I439" t="s">
        <v>17</v>
      </c>
      <c r="J439" t="s">
        <v>18</v>
      </c>
      <c r="K439" t="s">
        <v>95</v>
      </c>
      <c r="L439" t="s">
        <v>98</v>
      </c>
    </row>
    <row r="440" spans="1:12">
      <c r="A440" s="4" t="n">
        <v>43124</v>
      </c>
      <c r="B440" t="s">
        <v>532</v>
      </c>
      <c r="C440" t="s">
        <v>80</v>
      </c>
      <c r="D440" t="s">
        <v>245</v>
      </c>
      <c r="E440" t="s">
        <v>51</v>
      </c>
      <c r="F440" t="s">
        <v>16</v>
      </c>
      <c r="G440" t="s">
        <v>1059</v>
      </c>
      <c r="H440">
        <f>HYPERLINK("https://www.jouwictvacature.nl/solliciteren?job=starting-java-developer-in-amsterdam--spring-nosql-databases-elasticse", "Link")</f>
        <v/>
      </c>
      <c r="I440" t="s">
        <v>17</v>
      </c>
      <c r="J440" t="s">
        <v>18</v>
      </c>
      <c r="K440" t="s">
        <v>537</v>
      </c>
      <c r="L440" t="s">
        <v>1060</v>
      </c>
    </row>
    <row hidden="1" r="441" s="1" spans="1:12">
      <c r="A441" s="4" t="n">
        <v>43124</v>
      </c>
      <c r="B441" t="s">
        <v>237</v>
      </c>
      <c r="C441" t="s">
        <v>93</v>
      </c>
      <c r="D441" t="s">
        <v>22</v>
      </c>
      <c r="E441" t="s">
        <v>15</v>
      </c>
      <c r="F441" t="s">
        <v>52</v>
      </c>
      <c r="G441" t="s">
        <v>1061</v>
      </c>
      <c r="H441">
        <f>HYPERLINK("https://www.jouwictvacature.nl/solliciteren?job=medior-java-developer--spring-angularjs-soap-rest-api-jenkins-bij-hybr", "Link")</f>
        <v/>
      </c>
      <c r="I441" t="s">
        <v>17</v>
      </c>
      <c r="J441" t="s">
        <v>18</v>
      </c>
      <c r="K441" t="s">
        <v>242</v>
      </c>
      <c r="L441" t="s">
        <v>1062</v>
      </c>
    </row>
    <row hidden="1" r="442" s="1" spans="1:12">
      <c r="A442" s="4" t="n">
        <v>43124</v>
      </c>
      <c r="B442" t="s">
        <v>115</v>
      </c>
      <c r="C442" t="s">
        <v>62</v>
      </c>
      <c r="D442" t="s">
        <v>22</v>
      </c>
      <c r="E442" t="s">
        <v>15</v>
      </c>
      <c r="F442" t="s">
        <v>28</v>
      </c>
      <c r="G442" t="s">
        <v>1063</v>
      </c>
      <c r="H442">
        <f>HYPERLINK("https://www.jouwictvacature.nl/solliciteren?job=senior-developer-in-utrecht--vbnet-aspnet-java-spring-bij-bottomline", "Link")</f>
        <v/>
      </c>
      <c r="I442" t="s">
        <v>17</v>
      </c>
      <c r="J442" t="s">
        <v>18</v>
      </c>
      <c r="K442" t="s">
        <v>1064</v>
      </c>
      <c r="L442" t="s">
        <v>1065</v>
      </c>
    </row>
    <row hidden="1" r="443" s="1" spans="1:12">
      <c r="A443" s="4" t="n">
        <v>43124</v>
      </c>
      <c r="B443" t="s">
        <v>455</v>
      </c>
      <c r="C443" t="s">
        <v>456</v>
      </c>
      <c r="D443" t="s">
        <v>245</v>
      </c>
      <c r="E443" t="s">
        <v>15</v>
      </c>
      <c r="F443" t="s">
        <v>52</v>
      </c>
      <c r="G443" t="s">
        <v>859</v>
      </c>
      <c r="H443">
        <f>HYPERLINK("https://www.jouwictvacature.nl/solliciteren?job=net-engineer-bij-sogeti", "Link")</f>
        <v/>
      </c>
      <c r="I443" t="s">
        <v>17</v>
      </c>
      <c r="J443" t="s">
        <v>18</v>
      </c>
      <c r="K443" t="s">
        <v>466</v>
      </c>
      <c r="L443" t="s">
        <v>860</v>
      </c>
    </row>
    <row hidden="1" r="444" s="1" spans="1:12">
      <c r="A444" s="4" t="n">
        <v>43124</v>
      </c>
      <c r="B444" t="s">
        <v>346</v>
      </c>
      <c r="C444" t="s">
        <v>80</v>
      </c>
      <c r="D444" t="s">
        <v>14</v>
      </c>
      <c r="E444" t="s">
        <v>15</v>
      </c>
      <c r="F444" t="s">
        <v>16</v>
      </c>
      <c r="G444" t="s">
        <v>1066</v>
      </c>
      <c r="H444">
        <f>HYPERLINK("https://www.jouwictvacature.nl/solliciteren?job=fullstack-c-net-developer-bij-mwm2", "Link")</f>
        <v/>
      </c>
      <c r="I444" t="s">
        <v>17</v>
      </c>
      <c r="J444" t="s">
        <v>18</v>
      </c>
      <c r="K444" t="s">
        <v>348</v>
      </c>
      <c r="L444" t="s">
        <v>1067</v>
      </c>
    </row>
    <row hidden="1" r="445" s="1" spans="1:12">
      <c r="A445" s="4" t="n">
        <v>43124</v>
      </c>
      <c r="B445" t="s">
        <v>127</v>
      </c>
      <c r="C445" t="s">
        <v>128</v>
      </c>
      <c r="D445" t="s">
        <v>22</v>
      </c>
      <c r="E445" t="s">
        <v>15</v>
      </c>
      <c r="F445" t="s">
        <v>16</v>
      </c>
      <c r="G445" t="s">
        <v>129</v>
      </c>
      <c r="H445">
        <f>HYPERLINK("https://www.jouwictvacature.nl/solliciteren?job=developer-c--audioenvideo-bij-gridshot-thefrontdoor", "Link")</f>
        <v/>
      </c>
      <c r="I445" t="s">
        <v>17</v>
      </c>
      <c r="J445" t="s">
        <v>18</v>
      </c>
      <c r="K445" t="s">
        <v>130</v>
      </c>
      <c r="L445" t="s">
        <v>131</v>
      </c>
    </row>
    <row hidden="1" r="446" s="1" spans="1:12">
      <c r="A446" s="4" t="n">
        <v>43124</v>
      </c>
      <c r="B446" t="s">
        <v>1068</v>
      </c>
      <c r="C446" t="s">
        <v>197</v>
      </c>
      <c r="D446" t="s">
        <v>245</v>
      </c>
      <c r="E446" t="s">
        <v>15</v>
      </c>
      <c r="F446" t="s">
        <v>28</v>
      </c>
      <c r="G446" t="s">
        <v>1069</v>
      </c>
      <c r="H446">
        <f>HYPERLINK("https://www.jouwictvacature.nl/solliciteren?job=senior-net-developer-bij-searchdog-inhouse", "Link")</f>
        <v/>
      </c>
      <c r="I446" t="s">
        <v>17</v>
      </c>
      <c r="J446" t="s">
        <v>18</v>
      </c>
      <c r="K446" t="s">
        <v>1070</v>
      </c>
      <c r="L446" t="s">
        <v>1071</v>
      </c>
    </row>
    <row hidden="1" r="447" s="1" spans="1:12">
      <c r="A447" s="4" t="n">
        <v>43124</v>
      </c>
      <c r="B447" t="s">
        <v>109</v>
      </c>
      <c r="C447" t="s">
        <v>80</v>
      </c>
      <c r="D447" t="s">
        <v>22</v>
      </c>
      <c r="E447" t="s">
        <v>15</v>
      </c>
      <c r="F447" t="s">
        <v>16</v>
      </c>
      <c r="G447" t="s">
        <v>109</v>
      </c>
      <c r="H447">
        <f>HYPERLINK("https://www.jouwictvacature.nl/solliciteren?job=medior--senior-net-developer-op-projectbasis", "Link")</f>
        <v/>
      </c>
      <c r="I447" t="s">
        <v>17</v>
      </c>
      <c r="J447" t="s">
        <v>18</v>
      </c>
      <c r="K447" t="s">
        <v>110</v>
      </c>
      <c r="L447" t="s">
        <v>1072</v>
      </c>
    </row>
    <row hidden="1" r="448" s="1" spans="1:12">
      <c r="A448" s="4" t="n">
        <v>43124</v>
      </c>
      <c r="B448" t="s">
        <v>865</v>
      </c>
      <c r="C448" t="s">
        <v>866</v>
      </c>
      <c r="D448" t="s">
        <v>245</v>
      </c>
      <c r="E448" t="s">
        <v>15</v>
      </c>
      <c r="F448" t="s">
        <v>16</v>
      </c>
      <c r="G448" t="s">
        <v>865</v>
      </c>
      <c r="H448">
        <f>HYPERLINK("https://www.jouwictvacature.nl/solliciteren?job=technisch-consultant-erp-bi-ridder-data-systems", "Link")</f>
        <v/>
      </c>
      <c r="I448" t="s">
        <v>17</v>
      </c>
      <c r="J448" t="s">
        <v>18</v>
      </c>
      <c r="K448" t="s">
        <v>1073</v>
      </c>
      <c r="L448" t="s">
        <v>1074</v>
      </c>
    </row>
    <row hidden="1" r="449" s="1" spans="1:12">
      <c r="A449" s="4" t="n">
        <v>43124</v>
      </c>
      <c r="B449" t="s">
        <v>865</v>
      </c>
      <c r="C449" t="s">
        <v>866</v>
      </c>
      <c r="D449" t="s">
        <v>245</v>
      </c>
      <c r="E449" t="s">
        <v>15</v>
      </c>
      <c r="F449" t="s">
        <v>16</v>
      </c>
      <c r="G449" t="s">
        <v>865</v>
      </c>
      <c r="H449">
        <f>HYPERLINK("https://www.jouwictvacature.nl/solliciteren?job=vacature-consultancy-trainee-erp", "Link")</f>
        <v/>
      </c>
      <c r="I449" t="s">
        <v>17</v>
      </c>
      <c r="J449" t="s">
        <v>18</v>
      </c>
      <c r="K449" t="s">
        <v>1075</v>
      </c>
      <c r="L449" t="s">
        <v>1076</v>
      </c>
    </row>
    <row hidden="1" r="450" s="1" spans="1:12">
      <c r="A450" s="4" t="n">
        <v>43124</v>
      </c>
      <c r="B450" t="s">
        <v>104</v>
      </c>
      <c r="C450" t="s">
        <v>80</v>
      </c>
      <c r="D450" t="s">
        <v>22</v>
      </c>
      <c r="E450" t="s">
        <v>15</v>
      </c>
      <c r="F450" t="s">
        <v>16</v>
      </c>
      <c r="G450" t="s">
        <v>104</v>
      </c>
      <c r="H450">
        <f>HYPERLINK("https://www.jouwictvacature.nl/solliciteren?job=senior-net-ontwikkelaar-bij-betabit-regio-utrecht", "Link")</f>
        <v/>
      </c>
      <c r="I450" t="s">
        <v>17</v>
      </c>
      <c r="J450" t="s">
        <v>18</v>
      </c>
      <c r="K450" t="s">
        <v>992</v>
      </c>
      <c r="L450" t="s">
        <v>1077</v>
      </c>
    </row>
    <row hidden="1" r="451" s="1" spans="1:12">
      <c r="A451" s="4" t="n">
        <v>43124</v>
      </c>
      <c r="B451" t="s">
        <v>308</v>
      </c>
      <c r="C451" t="s">
        <v>309</v>
      </c>
      <c r="D451" t="s">
        <v>14</v>
      </c>
      <c r="E451" t="s">
        <v>15</v>
      </c>
      <c r="F451" t="s">
        <v>16</v>
      </c>
      <c r="G451" t="s">
        <v>1078</v>
      </c>
      <c r="H451">
        <f>HYPERLINK("https://www.jouwictvacature.nl/solliciteren?job=senior-cnet-developer-bij-marketgraph-2", "Link")</f>
        <v/>
      </c>
      <c r="I451" t="s">
        <v>17</v>
      </c>
      <c r="J451" t="s">
        <v>18</v>
      </c>
      <c r="K451" t="s">
        <v>311</v>
      </c>
      <c r="L451" t="s">
        <v>1079</v>
      </c>
    </row>
    <row hidden="1" r="452" s="1" spans="1:12">
      <c r="A452" s="4" t="n">
        <v>43124</v>
      </c>
      <c r="B452" t="s">
        <v>308</v>
      </c>
      <c r="C452" t="s">
        <v>309</v>
      </c>
      <c r="D452" t="s">
        <v>14</v>
      </c>
      <c r="E452" t="s">
        <v>15</v>
      </c>
      <c r="F452" t="s">
        <v>16</v>
      </c>
      <c r="G452" t="s">
        <v>310</v>
      </c>
      <c r="H452">
        <f>HYPERLINK("https://www.jouwictvacature.nl/solliciteren?job=c-net-ontwikkelaar--werken-voor-oa-the-voice-of-holland-de-slimste-men", "Link")</f>
        <v/>
      </c>
      <c r="I452" t="s">
        <v>17</v>
      </c>
      <c r="J452" t="s">
        <v>18</v>
      </c>
      <c r="K452" t="s">
        <v>311</v>
      </c>
      <c r="L452" t="s">
        <v>312</v>
      </c>
    </row>
    <row hidden="1" r="453" s="1" spans="1:12">
      <c r="A453" s="4" t="n">
        <v>43124</v>
      </c>
      <c r="B453" t="s">
        <v>719</v>
      </c>
      <c r="C453" t="s">
        <v>93</v>
      </c>
      <c r="D453" t="s">
        <v>14</v>
      </c>
      <c r="E453" t="s">
        <v>15</v>
      </c>
      <c r="F453" t="s">
        <v>52</v>
      </c>
      <c r="G453" t="s">
        <v>1080</v>
      </c>
      <c r="H453">
        <f>HYPERLINK("https://www.jouwictvacature.nl/solliciteren?job=medior-laravel-back-end-developer-bij-23g", "Link")</f>
        <v/>
      </c>
      <c r="I453" t="s">
        <v>17</v>
      </c>
      <c r="J453" t="s">
        <v>18</v>
      </c>
      <c r="K453" t="s">
        <v>721</v>
      </c>
      <c r="L453" t="s">
        <v>1081</v>
      </c>
    </row>
    <row hidden="1" r="454" s="1" spans="1:12">
      <c r="A454" s="4" t="n">
        <v>43124</v>
      </c>
      <c r="B454" t="s">
        <v>585</v>
      </c>
      <c r="C454" t="s">
        <v>586</v>
      </c>
      <c r="D454" t="s">
        <v>245</v>
      </c>
      <c r="E454" t="s">
        <v>15</v>
      </c>
      <c r="F454" t="s">
        <v>28</v>
      </c>
      <c r="G454" t="s">
        <v>587</v>
      </c>
      <c r="H454">
        <f>HYPERLINK("https://www.jouwictvacature.nl/solliciteren?job=gedreven-php-webontwikkelaar-medior-", "Link")</f>
        <v/>
      </c>
      <c r="I454" t="s">
        <v>17</v>
      </c>
      <c r="J454" t="s">
        <v>18</v>
      </c>
      <c r="K454" t="s">
        <v>588</v>
      </c>
      <c r="L454" t="s">
        <v>589</v>
      </c>
    </row>
    <row hidden="1" r="455" s="1" spans="1:12">
      <c r="A455" s="4" t="n">
        <v>43124</v>
      </c>
      <c r="B455" t="s">
        <v>878</v>
      </c>
      <c r="C455" t="s">
        <v>591</v>
      </c>
      <c r="D455" t="s">
        <v>22</v>
      </c>
      <c r="E455" t="s">
        <v>15</v>
      </c>
      <c r="F455" t="s">
        <v>28</v>
      </c>
      <c r="G455" t="s">
        <v>882</v>
      </c>
      <c r="H455">
        <f>HYPERLINK("https://www.jouwictvacature.nl/solliciteren?job=senior-laravel-php-developer-bij-divtag", "Link")</f>
        <v/>
      </c>
      <c r="I455" t="s">
        <v>17</v>
      </c>
      <c r="J455" t="s">
        <v>18</v>
      </c>
      <c r="K455" t="s">
        <v>879</v>
      </c>
      <c r="L455" t="s">
        <v>1082</v>
      </c>
    </row>
    <row hidden="1" r="456" s="1" spans="1:12">
      <c r="A456" s="4" t="n">
        <v>43124</v>
      </c>
      <c r="B456" t="s">
        <v>585</v>
      </c>
      <c r="C456" t="s">
        <v>586</v>
      </c>
      <c r="D456" t="s">
        <v>245</v>
      </c>
      <c r="E456" t="s">
        <v>15</v>
      </c>
      <c r="F456" t="s">
        <v>16</v>
      </c>
      <c r="G456" t="s">
        <v>713</v>
      </c>
      <c r="H456">
        <f>HYPERLINK("https://www.jouwictvacature.nl/solliciteren?job=allround-php-webontwikkelaar-2", "Link")</f>
        <v/>
      </c>
      <c r="I456" t="s">
        <v>17</v>
      </c>
      <c r="J456" t="s">
        <v>18</v>
      </c>
      <c r="K456" t="s">
        <v>588</v>
      </c>
      <c r="L456" t="s">
        <v>714</v>
      </c>
    </row>
    <row hidden="1" r="457" s="1" spans="1:12">
      <c r="A457" s="4" t="n">
        <v>43124</v>
      </c>
      <c r="B457" t="s">
        <v>293</v>
      </c>
      <c r="C457" t="s">
        <v>294</v>
      </c>
      <c r="D457" t="s">
        <v>14</v>
      </c>
      <c r="E457" t="s">
        <v>15</v>
      </c>
      <c r="F457" t="s">
        <v>28</v>
      </c>
      <c r="G457" t="s">
        <v>295</v>
      </c>
      <c r="H457">
        <f>HYPERLINK("https://www.jouwictvacature.nl/solliciteren?job=senior-php-developer--fulltime-bij-koekenpeer", "Link")</f>
        <v/>
      </c>
      <c r="I457" t="s">
        <v>17</v>
      </c>
      <c r="J457" t="s">
        <v>18</v>
      </c>
      <c r="K457" t="s">
        <v>296</v>
      </c>
      <c r="L457" t="s">
        <v>297</v>
      </c>
    </row>
    <row hidden="1" r="458" s="1" spans="1:12">
      <c r="A458" s="4" t="n">
        <v>43124</v>
      </c>
      <c r="B458" t="s">
        <v>244</v>
      </c>
      <c r="C458" t="s">
        <v>45</v>
      </c>
      <c r="D458" t="s">
        <v>14</v>
      </c>
      <c r="E458" t="s">
        <v>15</v>
      </c>
      <c r="F458" t="s">
        <v>52</v>
      </c>
      <c r="G458" t="s">
        <v>1083</v>
      </c>
      <c r="H458">
        <f>HYPERLINK("https://www.jouwictvacature.nl/solliciteren?job=medior-php-back-end-developer-bij-i3dnet", "Link")</f>
        <v/>
      </c>
      <c r="I458" t="s">
        <v>17</v>
      </c>
      <c r="J458" t="s">
        <v>18</v>
      </c>
      <c r="K458" t="s">
        <v>247</v>
      </c>
      <c r="L458" t="s">
        <v>1084</v>
      </c>
    </row>
    <row hidden="1" r="459" s="1" spans="1:12">
      <c r="A459" s="4" t="n">
        <v>43124</v>
      </c>
      <c r="B459" t="s">
        <v>1013</v>
      </c>
      <c r="C459" t="s">
        <v>1014</v>
      </c>
      <c r="D459" t="s">
        <v>14</v>
      </c>
      <c r="E459" t="s">
        <v>15</v>
      </c>
      <c r="F459" t="s">
        <v>34</v>
      </c>
      <c r="G459" t="s">
        <v>1015</v>
      </c>
      <c r="H459">
        <f>HYPERLINK("https://www.jouwictvacature.nl/solliciteren?job=junior-web-developer-4", "Link")</f>
        <v/>
      </c>
      <c r="I459" t="s">
        <v>17</v>
      </c>
      <c r="J459" t="s">
        <v>18</v>
      </c>
      <c r="K459" t="s">
        <v>1016</v>
      </c>
      <c r="L459" t="s">
        <v>1017</v>
      </c>
    </row>
    <row hidden="1" r="460" s="1" spans="1:12">
      <c r="A460" s="4" t="n">
        <v>43124</v>
      </c>
      <c r="B460" t="s">
        <v>813</v>
      </c>
      <c r="C460" t="s">
        <v>309</v>
      </c>
      <c r="D460" t="s">
        <v>245</v>
      </c>
      <c r="E460" t="s">
        <v>15</v>
      </c>
      <c r="F460" t="s">
        <v>52</v>
      </c>
      <c r="G460" t="s">
        <v>1085</v>
      </c>
      <c r="H460">
        <f>HYPERLINK("https://www.jouwictvacature.nl/solliciteren?job=full-stack-developer-bij-telserv--2", "Link")</f>
        <v/>
      </c>
      <c r="I460" t="s">
        <v>17</v>
      </c>
      <c r="J460" t="s">
        <v>18</v>
      </c>
      <c r="K460" t="s">
        <v>815</v>
      </c>
      <c r="L460" t="s">
        <v>1086</v>
      </c>
    </row>
    <row hidden="1" r="461" s="1" spans="1:12">
      <c r="A461" s="4" t="n">
        <v>43124</v>
      </c>
      <c r="B461" t="s">
        <v>942</v>
      </c>
      <c r="C461" t="s">
        <v>943</v>
      </c>
      <c r="D461" t="s">
        <v>245</v>
      </c>
      <c r="E461" t="s">
        <v>15</v>
      </c>
      <c r="F461" t="s">
        <v>52</v>
      </c>
      <c r="G461" t="s">
        <v>944</v>
      </c>
      <c r="H461">
        <f>HYPERLINK("https://www.jouwictvacature.nl/solliciteren?job=junior-php-webdeveloper-4", "Link")</f>
        <v/>
      </c>
      <c r="I461" t="s">
        <v>17</v>
      </c>
      <c r="J461" t="s">
        <v>18</v>
      </c>
      <c r="K461" t="s">
        <v>945</v>
      </c>
      <c r="L461" t="s">
        <v>946</v>
      </c>
    </row>
    <row hidden="1" r="462" s="1" spans="1:12">
      <c r="A462" s="4" t="n">
        <v>43124</v>
      </c>
      <c r="B462" t="s">
        <v>1087</v>
      </c>
      <c r="C462" t="s">
        <v>726</v>
      </c>
      <c r="D462" t="s">
        <v>14</v>
      </c>
      <c r="E462" t="s">
        <v>15</v>
      </c>
      <c r="F462" t="s">
        <v>16</v>
      </c>
      <c r="G462" t="s">
        <v>1087</v>
      </c>
      <c r="H462">
        <f>HYPERLINK("https://www.jouwictvacature.nl/solliciteren?job=senior-back-end-developer-bij-magneds", "Link")</f>
        <v/>
      </c>
      <c r="I462" t="s">
        <v>17</v>
      </c>
      <c r="J462" t="s">
        <v>18</v>
      </c>
      <c r="K462" t="s">
        <v>1088</v>
      </c>
      <c r="L462" t="s">
        <v>1089</v>
      </c>
    </row>
    <row hidden="1" r="463" s="1" spans="1:12">
      <c r="A463" s="4" t="n">
        <v>43124</v>
      </c>
      <c r="B463" t="s">
        <v>365</v>
      </c>
      <c r="C463" t="s">
        <v>366</v>
      </c>
      <c r="D463" t="s">
        <v>14</v>
      </c>
      <c r="E463" t="s">
        <v>15</v>
      </c>
      <c r="F463" t="s">
        <v>52</v>
      </c>
      <c r="G463" t="s">
        <v>1090</v>
      </c>
      <c r="H463">
        <f>HYPERLINK("https://www.jouwictvacature.nl/solliciteren?job=medior-technische-front-end-developer-bij-not-on-paper", "Link")</f>
        <v/>
      </c>
      <c r="I463" t="s">
        <v>17</v>
      </c>
      <c r="J463" t="s">
        <v>18</v>
      </c>
      <c r="K463" t="s">
        <v>740</v>
      </c>
      <c r="L463" t="s">
        <v>1091</v>
      </c>
    </row>
    <row hidden="1" r="464" s="1" spans="1:12">
      <c r="A464" s="4" t="n">
        <v>43124</v>
      </c>
      <c r="B464" t="s">
        <v>829</v>
      </c>
      <c r="C464" t="s">
        <v>279</v>
      </c>
      <c r="D464" t="s">
        <v>22</v>
      </c>
      <c r="E464" t="s">
        <v>15</v>
      </c>
      <c r="F464" t="s">
        <v>52</v>
      </c>
      <c r="G464" t="s">
        <v>1092</v>
      </c>
      <c r="H464">
        <f>HYPERLINK("https://www.jouwictvacature.nl/solliciteren?job=medior-front-end-ontwikkelaar-bij-bigbridge", "Link")</f>
        <v/>
      </c>
      <c r="I464" t="s">
        <v>17</v>
      </c>
      <c r="J464" t="s">
        <v>18</v>
      </c>
      <c r="K464" t="s">
        <v>831</v>
      </c>
      <c r="L464" t="s">
        <v>1093</v>
      </c>
    </row>
    <row hidden="1" r="465" s="1" spans="1:12">
      <c r="A465" s="4" t="n">
        <v>43124</v>
      </c>
      <c r="B465" t="s">
        <v>304</v>
      </c>
      <c r="C465" t="s">
        <v>305</v>
      </c>
      <c r="D465" t="s">
        <v>14</v>
      </c>
      <c r="E465" t="s">
        <v>15</v>
      </c>
      <c r="F465" t="s">
        <v>16</v>
      </c>
      <c r="G465" t="s">
        <v>304</v>
      </c>
      <c r="H465">
        <f>HYPERLINK("https://www.jouwictvacature.nl/solliciteren?job=front-end-developer-bij-ksyos", "Link")</f>
        <v/>
      </c>
      <c r="I465" t="s">
        <v>17</v>
      </c>
      <c r="J465" t="s">
        <v>18</v>
      </c>
      <c r="K465" t="s">
        <v>1046</v>
      </c>
      <c r="L465" t="s">
        <v>1094</v>
      </c>
    </row>
    <row r="466" spans="1:12">
      <c r="A466" s="4" t="n">
        <v>43124</v>
      </c>
      <c r="B466" t="s">
        <v>1095</v>
      </c>
      <c r="C466" t="s">
        <v>76</v>
      </c>
      <c r="D466" t="s">
        <v>245</v>
      </c>
      <c r="E466" t="s">
        <v>51</v>
      </c>
      <c r="F466" t="s">
        <v>16</v>
      </c>
      <c r="G466" t="s">
        <v>1095</v>
      </c>
      <c r="H466">
        <f>HYPERLINK("https://www.jouwictvacature.nl/solliciteren?job=medior-back-end-developer-superbuddy-mean-stack-2", "Link")</f>
        <v/>
      </c>
      <c r="I466" t="s">
        <v>17</v>
      </c>
      <c r="J466" t="s">
        <v>18</v>
      </c>
      <c r="K466" t="s">
        <v>1096</v>
      </c>
      <c r="L466" t="s">
        <v>1097</v>
      </c>
    </row>
    <row hidden="1" r="467" s="1" spans="1:12">
      <c r="A467" s="4" t="n">
        <v>43124</v>
      </c>
      <c r="B467" t="s">
        <v>317</v>
      </c>
      <c r="C467" t="s">
        <v>45</v>
      </c>
      <c r="D467" t="s">
        <v>14</v>
      </c>
      <c r="E467" t="s">
        <v>15</v>
      </c>
      <c r="F467" t="s">
        <v>52</v>
      </c>
      <c r="G467" t="s">
        <v>653</v>
      </c>
      <c r="H467">
        <f>HYPERLINK("https://www.jouwictvacature.nl/solliciteren?job=medior-javascript-developer-bij-maximumnl", "Link")</f>
        <v/>
      </c>
      <c r="I467" t="s">
        <v>17</v>
      </c>
      <c r="J467" t="s">
        <v>18</v>
      </c>
      <c r="K467" t="s">
        <v>319</v>
      </c>
      <c r="L467" t="s">
        <v>654</v>
      </c>
    </row>
    <row hidden="1" r="468" s="1" spans="1:12">
      <c r="A468" s="4" t="n">
        <v>43124</v>
      </c>
      <c r="B468" t="s">
        <v>142</v>
      </c>
      <c r="C468" t="s">
        <v>143</v>
      </c>
      <c r="D468" t="s">
        <v>22</v>
      </c>
      <c r="E468" t="s">
        <v>15</v>
      </c>
      <c r="F468" t="s">
        <v>28</v>
      </c>
      <c r="G468" t="s">
        <v>321</v>
      </c>
      <c r="H468">
        <f>HYPERLINK("https://www.jouwictvacature.nl/solliciteren?job=senior-javascript-developer-bij-coas", "Link")</f>
        <v/>
      </c>
      <c r="I468" t="s">
        <v>17</v>
      </c>
      <c r="J468" t="s">
        <v>18</v>
      </c>
      <c r="K468" t="s">
        <v>145</v>
      </c>
      <c r="L468" t="s">
        <v>1098</v>
      </c>
    </row>
    <row hidden="1" r="469" s="1" spans="1:12">
      <c r="A469" s="4" t="n">
        <v>43124</v>
      </c>
      <c r="B469" t="s">
        <v>1099</v>
      </c>
      <c r="C469" t="s">
        <v>1100</v>
      </c>
      <c r="D469" t="s">
        <v>22</v>
      </c>
      <c r="E469" t="s">
        <v>15</v>
      </c>
      <c r="F469" t="s">
        <v>34</v>
      </c>
      <c r="G469" t="s">
        <v>1101</v>
      </c>
      <c r="H469">
        <f>HYPERLINK("https://www.jouwictvacature.nl/solliciteren?job=junior-fullstack-developer-met-focus-op-front-end-bij-funatic", "Link")</f>
        <v/>
      </c>
      <c r="I469" t="s">
        <v>17</v>
      </c>
      <c r="J469" t="s">
        <v>18</v>
      </c>
      <c r="K469" t="s">
        <v>1102</v>
      </c>
      <c r="L469" t="s">
        <v>1103</v>
      </c>
    </row>
    <row r="470" spans="1:12">
      <c r="A470" s="4" t="n">
        <v>43124</v>
      </c>
      <c r="B470" t="s">
        <v>329</v>
      </c>
      <c r="C470" t="s">
        <v>80</v>
      </c>
      <c r="D470" t="s">
        <v>14</v>
      </c>
      <c r="E470" t="s">
        <v>51</v>
      </c>
      <c r="F470" t="s">
        <v>16</v>
      </c>
      <c r="G470" t="s">
        <v>329</v>
      </c>
      <c r="H470">
        <f>HYPERLINK("https://www.jouwictvacature.nl/solliciteren?job=medior-full-stack-developer-bij-member-get-member-bij-member-get-membe", "Link")</f>
        <v/>
      </c>
      <c r="I470" t="s">
        <v>17</v>
      </c>
      <c r="J470" t="s">
        <v>18</v>
      </c>
      <c r="K470" t="s">
        <v>330</v>
      </c>
      <c r="L470" t="s">
        <v>331</v>
      </c>
    </row>
    <row hidden="1" r="471" s="1" spans="1:12">
      <c r="A471" s="4" t="n">
        <v>43124</v>
      </c>
      <c r="B471" t="s">
        <v>1104</v>
      </c>
      <c r="C471" t="s">
        <v>1105</v>
      </c>
      <c r="D471" t="s">
        <v>22</v>
      </c>
      <c r="E471" t="s">
        <v>15</v>
      </c>
      <c r="F471" t="s">
        <v>16</v>
      </c>
      <c r="G471" t="s">
        <v>1106</v>
      </c>
      <c r="H471">
        <f>HYPERLINK("https://www.jouwictvacature.nl/solliciteren?job=enthousiaste-ervaren-front-end-designer", "Link")</f>
        <v/>
      </c>
      <c r="I471" t="s">
        <v>17</v>
      </c>
      <c r="J471" t="s">
        <v>18</v>
      </c>
      <c r="K471" t="s">
        <v>1107</v>
      </c>
      <c r="L471" t="s">
        <v>1108</v>
      </c>
    </row>
    <row r="472" spans="1:12">
      <c r="A472" s="4" t="n">
        <v>43124</v>
      </c>
      <c r="B472" t="s">
        <v>1109</v>
      </c>
      <c r="C472" t="s">
        <v>80</v>
      </c>
      <c r="D472" t="s">
        <v>22</v>
      </c>
      <c r="E472" t="s">
        <v>51</v>
      </c>
      <c r="F472" t="s">
        <v>16</v>
      </c>
      <c r="G472" t="s">
        <v>1109</v>
      </c>
      <c r="H472">
        <f>HYPERLINK("https://www.jouwictvacature.nl/solliciteren?job=front-end-developer-bij-codezilla", "Link")</f>
        <v/>
      </c>
      <c r="I472" t="s">
        <v>17</v>
      </c>
      <c r="J472" t="s">
        <v>18</v>
      </c>
      <c r="K472" t="s">
        <v>1110</v>
      </c>
      <c r="L472" t="s">
        <v>1111</v>
      </c>
    </row>
    <row r="473" spans="1:12">
      <c r="A473" s="4" t="n">
        <v>43125</v>
      </c>
      <c r="B473" t="s">
        <v>532</v>
      </c>
      <c r="C473" t="s">
        <v>80</v>
      </c>
      <c r="D473" t="s">
        <v>245</v>
      </c>
      <c r="E473" t="s">
        <v>51</v>
      </c>
      <c r="F473" t="s">
        <v>34</v>
      </c>
      <c r="G473" t="s">
        <v>1112</v>
      </c>
      <c r="H473">
        <f>HYPERLINK("https://www.jouwictvacature.nl/solliciteren?job=junior-machine-learning-developer--java-spring-boot-hibernate-tensorfl", "Link")</f>
        <v/>
      </c>
      <c r="I473" t="s">
        <v>17</v>
      </c>
      <c r="J473" t="s">
        <v>18</v>
      </c>
      <c r="K473" t="s">
        <v>542</v>
      </c>
      <c r="L473" t="s">
        <v>1113</v>
      </c>
    </row>
    <row hidden="1" r="474" s="1" spans="1:12">
      <c r="A474" s="4" t="n">
        <v>43125</v>
      </c>
      <c r="B474" t="s">
        <v>156</v>
      </c>
      <c r="C474" t="s">
        <v>157</v>
      </c>
      <c r="D474" t="s">
        <v>22</v>
      </c>
      <c r="E474" t="s">
        <v>15</v>
      </c>
      <c r="F474" t="s">
        <v>34</v>
      </c>
      <c r="G474" t="s">
        <v>158</v>
      </c>
      <c r="H474">
        <f>HYPERLINK("https://www.jouwictvacature.nl/solliciteren?job=junior-java-developer-bij-devoteam-", "Link")</f>
        <v/>
      </c>
      <c r="I474" t="s">
        <v>17</v>
      </c>
      <c r="J474" t="s">
        <v>18</v>
      </c>
      <c r="K474" t="s">
        <v>159</v>
      </c>
      <c r="L474" t="s">
        <v>160</v>
      </c>
    </row>
    <row hidden="1" r="475" s="1" spans="1:12">
      <c r="A475" s="4" t="n">
        <v>43125</v>
      </c>
      <c r="B475" t="s">
        <v>174</v>
      </c>
      <c r="C475" t="s">
        <v>93</v>
      </c>
      <c r="D475" t="s">
        <v>22</v>
      </c>
      <c r="E475" t="s">
        <v>15</v>
      </c>
      <c r="F475" t="s">
        <v>28</v>
      </c>
      <c r="G475" t="s">
        <v>671</v>
      </c>
      <c r="H475">
        <f>HYPERLINK("https://www.jouwictvacature.nl/solliciteren?job=senior-java-full-stack-developer-bij-dpa-geos-bij-dpa-4", "Link")</f>
        <v/>
      </c>
      <c r="I475" t="s">
        <v>17</v>
      </c>
      <c r="J475" t="s">
        <v>18</v>
      </c>
      <c r="K475" t="s">
        <v>176</v>
      </c>
      <c r="L475" t="s">
        <v>672</v>
      </c>
    </row>
    <row hidden="1" r="476" s="1" spans="1:12">
      <c r="A476" s="4" t="n">
        <v>43125</v>
      </c>
      <c r="B476" t="s">
        <v>273</v>
      </c>
      <c r="C476" t="s">
        <v>274</v>
      </c>
      <c r="D476" t="s">
        <v>14</v>
      </c>
      <c r="E476" t="s">
        <v>15</v>
      </c>
      <c r="F476" t="s">
        <v>28</v>
      </c>
      <c r="G476" t="s">
        <v>275</v>
      </c>
      <c r="H476">
        <f>HYPERLINK("https://www.jouwictvacature.nl/solliciteren?job=senior-java-ontwikkelaar--java-ee-gis-jpa-eclipse-mysql-glassfish", "Link")</f>
        <v/>
      </c>
      <c r="I476" t="s">
        <v>17</v>
      </c>
      <c r="J476" t="s">
        <v>18</v>
      </c>
      <c r="K476" t="s">
        <v>276</v>
      </c>
      <c r="L476" t="s">
        <v>277</v>
      </c>
    </row>
    <row r="477" spans="1:12">
      <c r="A477" s="4" t="n">
        <v>43125</v>
      </c>
      <c r="B477" t="s">
        <v>61</v>
      </c>
      <c r="C477" t="s">
        <v>62</v>
      </c>
      <c r="D477" t="s">
        <v>22</v>
      </c>
      <c r="E477" t="s">
        <v>51</v>
      </c>
      <c r="F477" t="s">
        <v>52</v>
      </c>
      <c r="G477" t="s">
        <v>1114</v>
      </c>
      <c r="H477">
        <f>HYPERLINK("https://www.jouwictvacature.nl/solliciteren?job=medior-software-engineer-at-axual--java-scala-apache-kafka-spring-bij-", "Link")</f>
        <v/>
      </c>
      <c r="I477" t="s">
        <v>17</v>
      </c>
      <c r="J477" t="s">
        <v>18</v>
      </c>
      <c r="K477" t="s">
        <v>64</v>
      </c>
      <c r="L477" t="s">
        <v>1115</v>
      </c>
    </row>
    <row hidden="1" r="478" s="1" spans="1:12">
      <c r="A478" s="4" t="n">
        <v>43125</v>
      </c>
      <c r="B478" t="s">
        <v>508</v>
      </c>
      <c r="C478" t="s">
        <v>509</v>
      </c>
      <c r="D478" t="s">
        <v>245</v>
      </c>
      <c r="E478" t="s">
        <v>15</v>
      </c>
      <c r="F478" t="s">
        <v>34</v>
      </c>
      <c r="G478" t="s">
        <v>1116</v>
      </c>
      <c r="H478">
        <f>HYPERLINK("https://www.jouwictvacature.nl/solliciteren?job=junior-software-developer--delphi-c-c-java-firebird-sql-interbase-bij-", "Link")</f>
        <v/>
      </c>
      <c r="I478" t="s">
        <v>17</v>
      </c>
      <c r="J478" t="s">
        <v>18</v>
      </c>
      <c r="K478" t="s">
        <v>517</v>
      </c>
      <c r="L478" t="s">
        <v>1117</v>
      </c>
    </row>
    <row hidden="1" r="479" s="1" spans="1:12">
      <c r="A479" s="4" t="n">
        <v>43125</v>
      </c>
      <c r="B479" t="s">
        <v>218</v>
      </c>
      <c r="C479" t="s">
        <v>219</v>
      </c>
      <c r="D479" t="s">
        <v>22</v>
      </c>
      <c r="E479" t="s">
        <v>15</v>
      </c>
      <c r="F479" t="s">
        <v>52</v>
      </c>
      <c r="G479" t="s">
        <v>220</v>
      </c>
      <c r="H479">
        <f>HYPERLINK("https://www.jouwictvacature.nl/solliciteren?job=medior-agile-test-engineer-bij-het-consultancyhuis", "Link")</f>
        <v/>
      </c>
      <c r="I479" t="s">
        <v>17</v>
      </c>
      <c r="J479" t="s">
        <v>18</v>
      </c>
      <c r="K479" t="s">
        <v>221</v>
      </c>
      <c r="L479" t="s">
        <v>222</v>
      </c>
    </row>
    <row hidden="1" r="480" s="1" spans="1:12">
      <c r="A480" s="4" t="n">
        <v>43125</v>
      </c>
      <c r="B480" t="s">
        <v>174</v>
      </c>
      <c r="C480" t="s">
        <v>38</v>
      </c>
      <c r="D480" t="s">
        <v>22</v>
      </c>
      <c r="E480" t="s">
        <v>15</v>
      </c>
      <c r="F480" t="s">
        <v>28</v>
      </c>
      <c r="G480" t="s">
        <v>1118</v>
      </c>
      <c r="H480">
        <f>HYPERLINK("https://www.jouwictvacature.nl/solliciteren?job=senior-mobile-developer--ios-android-phonegap-objective-c-java-swift-b-3", "Link")</f>
        <v/>
      </c>
      <c r="I480" t="s">
        <v>17</v>
      </c>
      <c r="J480" t="s">
        <v>18</v>
      </c>
      <c r="K480" t="s">
        <v>188</v>
      </c>
      <c r="L480" t="s">
        <v>1119</v>
      </c>
    </row>
    <row hidden="1" r="481" s="1" spans="1:12">
      <c r="A481" s="4" t="n">
        <v>43125</v>
      </c>
      <c r="B481" t="s">
        <v>71</v>
      </c>
      <c r="C481" t="s">
        <v>72</v>
      </c>
      <c r="D481" t="s">
        <v>22</v>
      </c>
      <c r="E481" t="s">
        <v>15</v>
      </c>
      <c r="F481" t="s">
        <v>16</v>
      </c>
      <c r="G481" t="s">
        <v>918</v>
      </c>
      <c r="H481">
        <f>HYPERLINK("https://www.jouwictvacature.nl/solliciteren?job=startende-agile-test-engineer-bij-bartosz-bij-bartosz-arnhem", "Link")</f>
        <v/>
      </c>
      <c r="I481" t="s">
        <v>17</v>
      </c>
      <c r="J481" t="s">
        <v>18</v>
      </c>
      <c r="K481" t="s">
        <v>608</v>
      </c>
      <c r="L481" t="s">
        <v>1120</v>
      </c>
    </row>
    <row hidden="1" r="482" s="1" spans="1:12">
      <c r="A482" s="4" t="n">
        <v>43125</v>
      </c>
      <c r="B482" t="s">
        <v>115</v>
      </c>
      <c r="C482" t="s">
        <v>62</v>
      </c>
      <c r="D482" t="s">
        <v>22</v>
      </c>
      <c r="E482" t="s">
        <v>15</v>
      </c>
      <c r="F482" t="s">
        <v>16</v>
      </c>
      <c r="G482" t="s">
        <v>1121</v>
      </c>
      <c r="H482">
        <f>HYPERLINK("https://www.jouwictvacature.nl/solliciteren?job=software-manager-bij-bottomline-in-utrecht", "Link")</f>
        <v/>
      </c>
      <c r="I482" t="s">
        <v>17</v>
      </c>
      <c r="J482" t="s">
        <v>18</v>
      </c>
      <c r="K482" t="s">
        <v>970</v>
      </c>
      <c r="L482" t="s">
        <v>1122</v>
      </c>
    </row>
    <row hidden="1" r="483" s="1" spans="1:12">
      <c r="A483" s="4" t="n">
        <v>43125</v>
      </c>
      <c r="B483" t="s">
        <v>526</v>
      </c>
      <c r="C483" t="s">
        <v>38</v>
      </c>
      <c r="D483" t="s">
        <v>245</v>
      </c>
      <c r="E483" t="s">
        <v>15</v>
      </c>
      <c r="F483" t="s">
        <v>16</v>
      </c>
      <c r="G483" t="s">
        <v>526</v>
      </c>
      <c r="H483">
        <f>HYPERLINK("https://www.jouwictvacature.nl/solliciteren?job=medior-net-developer--c-aspnet-mvc-angularjs-3", "Link")</f>
        <v/>
      </c>
      <c r="I483" t="s">
        <v>17</v>
      </c>
      <c r="J483" t="s">
        <v>18</v>
      </c>
      <c r="K483" t="s">
        <v>527</v>
      </c>
      <c r="L483" t="s">
        <v>528</v>
      </c>
    </row>
    <row hidden="1" r="484" s="1" spans="1:12">
      <c r="A484" s="4" t="n">
        <v>43125</v>
      </c>
      <c r="B484" t="s">
        <v>455</v>
      </c>
      <c r="C484" t="s">
        <v>45</v>
      </c>
      <c r="D484" t="s">
        <v>245</v>
      </c>
      <c r="E484" t="s">
        <v>15</v>
      </c>
      <c r="F484" t="s">
        <v>16</v>
      </c>
      <c r="G484" t="s">
        <v>1123</v>
      </c>
      <c r="H484">
        <f>HYPERLINK("https://www.jouwictvacature.nl/solliciteren?job=senior-net-engineer-bij-sogeti-4", "Link")</f>
        <v/>
      </c>
      <c r="I484" t="s">
        <v>17</v>
      </c>
      <c r="J484" t="s">
        <v>18</v>
      </c>
      <c r="K484" t="s">
        <v>466</v>
      </c>
      <c r="L484" t="s">
        <v>1124</v>
      </c>
    </row>
    <row hidden="1" r="485" s="1" spans="1:12">
      <c r="A485" s="4" t="n">
        <v>43125</v>
      </c>
      <c r="B485" t="s">
        <v>37</v>
      </c>
      <c r="C485" t="s">
        <v>38</v>
      </c>
      <c r="D485" t="s">
        <v>22</v>
      </c>
      <c r="E485" t="s">
        <v>15</v>
      </c>
      <c r="F485" t="s">
        <v>52</v>
      </c>
      <c r="G485" t="s">
        <v>1125</v>
      </c>
      <c r="H485">
        <f>HYPERLINK("https://www.jouwictvacature.nl/solliciteren?job=medior-javascript-developer-bij-advitrae", "Link")</f>
        <v/>
      </c>
      <c r="I485" t="s">
        <v>17</v>
      </c>
      <c r="J485" t="s">
        <v>18</v>
      </c>
      <c r="K485" t="s">
        <v>40</v>
      </c>
      <c r="L485" t="s">
        <v>1126</v>
      </c>
    </row>
    <row hidden="1" r="486" s="1" spans="1:12">
      <c r="A486" s="4" t="n">
        <v>43125</v>
      </c>
      <c r="B486" t="s">
        <v>701</v>
      </c>
      <c r="C486" t="s">
        <v>702</v>
      </c>
      <c r="D486" t="s">
        <v>22</v>
      </c>
      <c r="E486" t="s">
        <v>15</v>
      </c>
      <c r="F486" t="s">
        <v>16</v>
      </c>
      <c r="G486" t="s">
        <v>1127</v>
      </c>
      <c r="H486">
        <f>HYPERLINK("https://www.jouwictvacature.nl/solliciteren?job=backend-developer-c-aspnet", "Link")</f>
        <v/>
      </c>
      <c r="I486" t="s">
        <v>17</v>
      </c>
      <c r="J486" t="s">
        <v>18</v>
      </c>
      <c r="K486" t="s">
        <v>704</v>
      </c>
      <c r="L486" t="s">
        <v>1128</v>
      </c>
    </row>
    <row hidden="1" r="487" s="1" spans="1:12">
      <c r="A487" s="4" t="n">
        <v>43125</v>
      </c>
      <c r="B487" t="s">
        <v>455</v>
      </c>
      <c r="C487" t="s">
        <v>456</v>
      </c>
      <c r="D487" t="s">
        <v>245</v>
      </c>
      <c r="E487" t="s">
        <v>15</v>
      </c>
      <c r="F487" t="s">
        <v>16</v>
      </c>
      <c r="G487" t="s">
        <v>998</v>
      </c>
      <c r="H487">
        <f>HYPERLINK("https://www.jouwictvacature.nl/solliciteren?job=senior-net-engineer-bij-sogeti-6", "Link")</f>
        <v/>
      </c>
      <c r="I487" t="s">
        <v>17</v>
      </c>
      <c r="J487" t="s">
        <v>18</v>
      </c>
      <c r="K487" t="s">
        <v>466</v>
      </c>
      <c r="L487" t="s">
        <v>999</v>
      </c>
    </row>
    <row hidden="1" r="488" s="1" spans="1:12">
      <c r="A488" s="4" t="n">
        <v>43125</v>
      </c>
      <c r="B488" t="s">
        <v>405</v>
      </c>
      <c r="C488" t="s">
        <v>412</v>
      </c>
      <c r="D488" t="s">
        <v>14</v>
      </c>
      <c r="E488" t="s">
        <v>15</v>
      </c>
      <c r="F488" t="s">
        <v>16</v>
      </c>
      <c r="G488" t="s">
        <v>405</v>
      </c>
      <c r="H488">
        <f>HYPERLINK("https://www.jouwictvacature.nl/solliciteren?job=senior-microsoft-dynamics-ax-developer-bij-prodware", "Link")</f>
        <v/>
      </c>
      <c r="I488" t="s">
        <v>17</v>
      </c>
      <c r="J488" t="s">
        <v>18</v>
      </c>
      <c r="K488" t="s">
        <v>417</v>
      </c>
      <c r="L488" t="s">
        <v>418</v>
      </c>
    </row>
    <row hidden="1" r="489" s="1" spans="1:12">
      <c r="A489" s="4" t="n">
        <v>43125</v>
      </c>
      <c r="B489" t="s">
        <v>455</v>
      </c>
      <c r="C489" t="s">
        <v>309</v>
      </c>
      <c r="D489" t="s">
        <v>245</v>
      </c>
      <c r="E489" t="s">
        <v>15</v>
      </c>
      <c r="F489" t="s">
        <v>52</v>
      </c>
      <c r="G489" t="s">
        <v>854</v>
      </c>
      <c r="H489">
        <f>HYPERLINK("https://www.jouwictvacature.nl/solliciteren?job=net-engineer-bij-sogeti-3", "Link")</f>
        <v/>
      </c>
      <c r="I489" t="s">
        <v>17</v>
      </c>
      <c r="J489" t="s">
        <v>18</v>
      </c>
      <c r="K489" t="s">
        <v>466</v>
      </c>
      <c r="L489" t="s">
        <v>855</v>
      </c>
    </row>
    <row hidden="1" r="490" s="1" spans="1:12">
      <c r="A490" s="4" t="n">
        <v>43125</v>
      </c>
      <c r="B490" t="s">
        <v>313</v>
      </c>
      <c r="C490" t="s">
        <v>62</v>
      </c>
      <c r="D490" t="s">
        <v>14</v>
      </c>
      <c r="E490" t="s">
        <v>15</v>
      </c>
      <c r="F490" t="s">
        <v>28</v>
      </c>
      <c r="G490" t="s">
        <v>314</v>
      </c>
      <c r="H490">
        <f>HYPERLINK("https://www.jouwictvacature.nl/solliciteren?job=medior-net-developer--werken-voor-klanten-als-kpn-ns-sanoma-media-en-e", "Link")</f>
        <v/>
      </c>
      <c r="I490" t="s">
        <v>17</v>
      </c>
      <c r="J490" t="s">
        <v>18</v>
      </c>
      <c r="K490" t="s">
        <v>315</v>
      </c>
      <c r="L490" t="s">
        <v>316</v>
      </c>
    </row>
    <row hidden="1" r="491" s="1" spans="1:12">
      <c r="A491" s="4" t="n">
        <v>43125</v>
      </c>
      <c r="B491" t="s">
        <v>455</v>
      </c>
      <c r="C491" t="s">
        <v>38</v>
      </c>
      <c r="D491" t="s">
        <v>245</v>
      </c>
      <c r="E491" t="s">
        <v>15</v>
      </c>
      <c r="F491" t="s">
        <v>28</v>
      </c>
      <c r="G491" t="s">
        <v>1129</v>
      </c>
      <c r="H491">
        <f>HYPERLINK("https://www.jouwictvacature.nl/solliciteren?job=medior-net-engineer-bij-sogeti-2", "Link")</f>
        <v/>
      </c>
      <c r="I491" t="s">
        <v>17</v>
      </c>
      <c r="J491" t="s">
        <v>18</v>
      </c>
      <c r="K491" t="s">
        <v>1130</v>
      </c>
      <c r="L491" t="s">
        <v>1131</v>
      </c>
    </row>
    <row hidden="1" r="492" s="1" spans="1:12">
      <c r="A492" s="4" t="n">
        <v>43125</v>
      </c>
      <c r="B492" t="s">
        <v>251</v>
      </c>
      <c r="C492" t="s">
        <v>80</v>
      </c>
      <c r="D492" t="s">
        <v>14</v>
      </c>
      <c r="E492" t="s">
        <v>15</v>
      </c>
      <c r="F492" t="s">
        <v>16</v>
      </c>
      <c r="G492" t="s">
        <v>1132</v>
      </c>
      <c r="H492">
        <f>HYPERLINK("https://www.jouwictvacature.nl/solliciteren?job=technical-lead-net-bij-icatt--inhouse--mogelijkheid-tot-parttime--ople", "Link")</f>
        <v/>
      </c>
      <c r="I492" t="s">
        <v>17</v>
      </c>
      <c r="J492" t="s">
        <v>18</v>
      </c>
      <c r="K492" t="s">
        <v>624</v>
      </c>
      <c r="L492" t="s">
        <v>1133</v>
      </c>
    </row>
    <row hidden="1" r="493" s="1" spans="1:12">
      <c r="A493" s="4" t="n">
        <v>43125</v>
      </c>
      <c r="B493" t="s">
        <v>1134</v>
      </c>
      <c r="C493" t="s">
        <v>80</v>
      </c>
      <c r="D493" t="s">
        <v>245</v>
      </c>
      <c r="E493" t="s">
        <v>15</v>
      </c>
      <c r="F493" t="s">
        <v>16</v>
      </c>
      <c r="G493" t="s">
        <v>1135</v>
      </c>
      <c r="H493">
        <f>HYPERLINK("https://www.jouwictvacature.nl/solliciteren?job=php-webdeveloper-bij-uselab", "Link")</f>
        <v/>
      </c>
      <c r="I493" t="s">
        <v>17</v>
      </c>
      <c r="J493" t="s">
        <v>18</v>
      </c>
      <c r="K493" t="s">
        <v>1136</v>
      </c>
      <c r="L493" t="s">
        <v>1137</v>
      </c>
    </row>
    <row hidden="1" r="494" s="1" spans="1:12">
      <c r="A494" s="4" t="n">
        <v>43125</v>
      </c>
      <c r="B494" t="s">
        <v>26</v>
      </c>
      <c r="C494" t="s">
        <v>27</v>
      </c>
      <c r="D494" t="s">
        <v>22</v>
      </c>
      <c r="E494" t="s">
        <v>15</v>
      </c>
      <c r="F494" t="s">
        <v>28</v>
      </c>
      <c r="G494" t="s">
        <v>32</v>
      </c>
      <c r="H494">
        <f>HYPERLINK("https://www.jouwictvacature.nl/solliciteren?job=senior-php-back-end-developer-bij-aan-zee-communicatie", "Link")</f>
        <v/>
      </c>
      <c r="I494" t="s">
        <v>17</v>
      </c>
      <c r="J494" t="s">
        <v>18</v>
      </c>
      <c r="K494" t="s">
        <v>30</v>
      </c>
      <c r="L494" t="s">
        <v>33</v>
      </c>
    </row>
    <row hidden="1" r="495" s="1" spans="1:12">
      <c r="A495" s="4" t="n">
        <v>43125</v>
      </c>
      <c r="B495" t="s">
        <v>278</v>
      </c>
      <c r="C495" t="s">
        <v>279</v>
      </c>
      <c r="D495" t="s">
        <v>14</v>
      </c>
      <c r="E495" t="s">
        <v>15</v>
      </c>
      <c r="F495" t="s">
        <v>16</v>
      </c>
      <c r="G495" t="s">
        <v>280</v>
      </c>
      <c r="H495">
        <f>HYPERLINK("https://www.jouwictvacature.nl/solliciteren?job=php--laravel-developer-bij-topwerkgever-", "Link")</f>
        <v/>
      </c>
      <c r="I495" t="s">
        <v>17</v>
      </c>
      <c r="J495" t="s">
        <v>18</v>
      </c>
      <c r="K495" t="s">
        <v>281</v>
      </c>
      <c r="L495" t="s">
        <v>282</v>
      </c>
    </row>
    <row hidden="1" r="496" s="1" spans="1:12">
      <c r="A496" s="4" t="n">
        <v>43125</v>
      </c>
      <c r="B496" t="s">
        <v>493</v>
      </c>
      <c r="C496" t="s">
        <v>72</v>
      </c>
      <c r="D496" t="s">
        <v>245</v>
      </c>
      <c r="E496" t="s">
        <v>15</v>
      </c>
      <c r="F496" t="s">
        <v>16</v>
      </c>
      <c r="G496" t="s">
        <v>1138</v>
      </c>
      <c r="H496">
        <f>HYPERLINK("https://www.jouwictvacature.nl/solliciteren?job=full-stack-developer-bij-sumedia", "Link")</f>
        <v/>
      </c>
      <c r="I496" t="s">
        <v>17</v>
      </c>
      <c r="J496" t="s">
        <v>18</v>
      </c>
      <c r="K496" t="s">
        <v>495</v>
      </c>
      <c r="L496" t="s">
        <v>1139</v>
      </c>
    </row>
    <row hidden="1" r="497" s="1" spans="1:12">
      <c r="A497" s="4" t="n">
        <v>43125</v>
      </c>
      <c r="B497" t="s">
        <v>354</v>
      </c>
      <c r="C497" t="s">
        <v>50</v>
      </c>
      <c r="D497" t="s">
        <v>14</v>
      </c>
      <c r="E497" t="s">
        <v>15</v>
      </c>
      <c r="F497" t="s">
        <v>16</v>
      </c>
      <c r="G497" t="s">
        <v>355</v>
      </c>
      <c r="H497">
        <f>HYPERLINK("https://www.jouwictvacature.nl/solliciteren?job=lead-symfony-developer", "Link")</f>
        <v/>
      </c>
      <c r="I497" t="s">
        <v>17</v>
      </c>
      <c r="J497" t="s">
        <v>18</v>
      </c>
      <c r="K497" t="s">
        <v>356</v>
      </c>
      <c r="L497" t="s">
        <v>357</v>
      </c>
    </row>
    <row hidden="1" r="498" s="1" spans="1:12">
      <c r="A498" s="4" t="n">
        <v>43125</v>
      </c>
      <c r="B498" t="s">
        <v>568</v>
      </c>
      <c r="C498" t="s">
        <v>157</v>
      </c>
      <c r="D498" t="s">
        <v>245</v>
      </c>
      <c r="E498" t="s">
        <v>15</v>
      </c>
      <c r="F498" t="s">
        <v>16</v>
      </c>
      <c r="G498" t="s">
        <v>572</v>
      </c>
      <c r="H498">
        <f>HYPERLINK("https://www.jouwictvacature.nl/solliciteren?job=ervaren-wordpress-developer-gezocht", "Link")</f>
        <v/>
      </c>
      <c r="I498" t="s">
        <v>17</v>
      </c>
      <c r="J498" t="s">
        <v>18</v>
      </c>
      <c r="K498" t="s">
        <v>570</v>
      </c>
      <c r="L498" t="s">
        <v>573</v>
      </c>
    </row>
    <row hidden="1" r="499" s="1" spans="1:12">
      <c r="A499" s="4" t="n">
        <v>43125</v>
      </c>
      <c r="B499" t="s">
        <v>725</v>
      </c>
      <c r="C499" t="s">
        <v>726</v>
      </c>
      <c r="D499" t="s">
        <v>22</v>
      </c>
      <c r="E499" t="s">
        <v>15</v>
      </c>
      <c r="F499" t="s">
        <v>52</v>
      </c>
      <c r="G499" t="s">
        <v>727</v>
      </c>
      <c r="H499">
        <f>HYPERLINK("https://www.jouwictvacature.nl/solliciteren?job=medior-laravel-developer-bij-flashpoint", "Link")</f>
        <v/>
      </c>
      <c r="I499" t="s">
        <v>17</v>
      </c>
      <c r="J499" t="s">
        <v>18</v>
      </c>
      <c r="K499" t="s">
        <v>728</v>
      </c>
      <c r="L499" t="s">
        <v>729</v>
      </c>
    </row>
    <row hidden="1" r="500" s="1" spans="1:12">
      <c r="A500" s="4" t="n">
        <v>43125</v>
      </c>
      <c r="B500" t="s">
        <v>1140</v>
      </c>
      <c r="C500" t="s">
        <v>1141</v>
      </c>
      <c r="D500" t="s">
        <v>22</v>
      </c>
      <c r="E500" t="s">
        <v>15</v>
      </c>
      <c r="F500" t="s">
        <v>16</v>
      </c>
      <c r="G500" t="s">
        <v>1142</v>
      </c>
      <c r="H500">
        <f>HYPERLINK("https://www.jouwictvacature.nl/solliciteren?job=full-stack-developer-10", "Link")</f>
        <v/>
      </c>
      <c r="I500" t="s">
        <v>17</v>
      </c>
      <c r="J500" t="s">
        <v>18</v>
      </c>
      <c r="K500" t="s">
        <v>1143</v>
      </c>
      <c r="L500" t="s">
        <v>1144</v>
      </c>
    </row>
    <row hidden="1" r="501" s="1" spans="1:12">
      <c r="A501" s="4" t="n">
        <v>43125</v>
      </c>
      <c r="B501" t="s">
        <v>1145</v>
      </c>
      <c r="C501" t="s">
        <v>1146</v>
      </c>
      <c r="D501" t="s">
        <v>245</v>
      </c>
      <c r="E501" t="s">
        <v>15</v>
      </c>
      <c r="F501" t="s">
        <v>16</v>
      </c>
      <c r="G501" t="s">
        <v>1147</v>
      </c>
      <c r="H501">
        <f>HYPERLINK("https://www.jouwictvacature.nl/solliciteren?job=full-stack-php-programmeur", "Link")</f>
        <v/>
      </c>
      <c r="I501" t="s">
        <v>17</v>
      </c>
      <c r="J501" t="s">
        <v>18</v>
      </c>
      <c r="K501" t="s">
        <v>1148</v>
      </c>
      <c r="L501" t="s">
        <v>1149</v>
      </c>
    </row>
    <row hidden="1" r="502" s="1" spans="1:12">
      <c r="A502" s="4" t="n">
        <v>43125</v>
      </c>
      <c r="B502" t="s">
        <v>354</v>
      </c>
      <c r="C502" t="s">
        <v>50</v>
      </c>
      <c r="D502" t="s">
        <v>14</v>
      </c>
      <c r="E502" t="s">
        <v>15</v>
      </c>
      <c r="F502" t="s">
        <v>16</v>
      </c>
      <c r="G502" t="s">
        <v>1150</v>
      </c>
      <c r="H502">
        <f>HYPERLINK("https://www.jouwictvacature.nl/solliciteren?job=php-developer-15", "Link")</f>
        <v/>
      </c>
      <c r="I502" t="s">
        <v>17</v>
      </c>
      <c r="J502" t="s">
        <v>18</v>
      </c>
      <c r="K502" t="s">
        <v>356</v>
      </c>
      <c r="L502" t="s">
        <v>1151</v>
      </c>
    </row>
    <row hidden="1" r="503" s="1" spans="1:12">
      <c r="A503" s="4" t="n">
        <v>43125</v>
      </c>
      <c r="B503" t="s">
        <v>1036</v>
      </c>
      <c r="C503" t="s">
        <v>1037</v>
      </c>
      <c r="D503" t="s">
        <v>14</v>
      </c>
      <c r="E503" t="s">
        <v>15</v>
      </c>
      <c r="F503" t="s">
        <v>52</v>
      </c>
      <c r="G503" t="s">
        <v>1152</v>
      </c>
      <c r="H503">
        <f>HYPERLINK("https://www.jouwictvacature.nl/solliciteren?job=medior-nodejs-developer-bij-onsweb", "Link")</f>
        <v/>
      </c>
      <c r="I503" t="s">
        <v>17</v>
      </c>
      <c r="J503" t="s">
        <v>18</v>
      </c>
      <c r="K503" t="s">
        <v>1039</v>
      </c>
      <c r="L503" t="s">
        <v>1153</v>
      </c>
    </row>
    <row hidden="1" r="504" s="1" spans="1:12">
      <c r="A504" s="4" t="n">
        <v>43125</v>
      </c>
      <c r="B504" t="s">
        <v>374</v>
      </c>
      <c r="C504" t="s">
        <v>93</v>
      </c>
      <c r="D504" t="s">
        <v>14</v>
      </c>
      <c r="E504" t="s">
        <v>15</v>
      </c>
      <c r="F504" t="s">
        <v>52</v>
      </c>
      <c r="G504" t="s">
        <v>1154</v>
      </c>
      <c r="H504">
        <f>HYPERLINK("https://www.jouwictvacature.nl/solliciteren?job=mediorjavascript-developer-bij-oo-shopping", "Link")</f>
        <v/>
      </c>
      <c r="I504" t="s">
        <v>17</v>
      </c>
      <c r="J504" t="s">
        <v>18</v>
      </c>
      <c r="K504" t="s">
        <v>376</v>
      </c>
      <c r="L504" t="s">
        <v>1155</v>
      </c>
    </row>
    <row hidden="1" r="505" s="1" spans="1:12">
      <c r="A505" s="4" t="n">
        <v>43125</v>
      </c>
      <c r="B505" t="s">
        <v>742</v>
      </c>
      <c r="C505" t="s">
        <v>62</v>
      </c>
      <c r="D505" t="s">
        <v>245</v>
      </c>
      <c r="E505" t="s">
        <v>15</v>
      </c>
      <c r="F505" t="s">
        <v>16</v>
      </c>
      <c r="G505" t="s">
        <v>742</v>
      </c>
      <c r="H505">
        <f>HYPERLINK("https://www.jouwictvacature.nl/solliciteren?job=front-end-developer-bij-valueblue", "Link")</f>
        <v/>
      </c>
      <c r="I505" t="s">
        <v>17</v>
      </c>
      <c r="J505" t="s">
        <v>18</v>
      </c>
      <c r="K505" t="s">
        <v>743</v>
      </c>
      <c r="L505" t="s">
        <v>957</v>
      </c>
    </row>
    <row hidden="1" r="506" s="1" spans="1:12">
      <c r="A506" s="4" t="n">
        <v>43125</v>
      </c>
      <c r="B506" t="s">
        <v>829</v>
      </c>
      <c r="C506" t="s">
        <v>279</v>
      </c>
      <c r="D506" t="s">
        <v>22</v>
      </c>
      <c r="E506" t="s">
        <v>15</v>
      </c>
      <c r="F506" t="s">
        <v>16</v>
      </c>
      <c r="G506" t="s">
        <v>952</v>
      </c>
      <c r="H506">
        <f>HYPERLINK("https://www.jouwictvacature.nl/solliciteren?job=front-end-ontwikkelaar-bij-bigbridge", "Link")</f>
        <v/>
      </c>
      <c r="I506" t="s">
        <v>17</v>
      </c>
      <c r="J506" t="s">
        <v>18</v>
      </c>
      <c r="K506" t="s">
        <v>953</v>
      </c>
      <c r="L506" t="s">
        <v>954</v>
      </c>
    </row>
    <row hidden="1" r="507" s="1" spans="1:12">
      <c r="A507" s="4" t="n">
        <v>43125</v>
      </c>
      <c r="B507" t="s">
        <v>332</v>
      </c>
      <c r="C507" t="s">
        <v>333</v>
      </c>
      <c r="D507" t="s">
        <v>14</v>
      </c>
      <c r="E507" t="s">
        <v>15</v>
      </c>
      <c r="F507" t="s">
        <v>52</v>
      </c>
      <c r="G507" t="s">
        <v>653</v>
      </c>
      <c r="H507">
        <f>HYPERLINK("https://www.jouwictvacature.nl/solliciteren?job=medior-javascript-developer-bij-mplus", "Link")</f>
        <v/>
      </c>
      <c r="I507" t="s">
        <v>17</v>
      </c>
      <c r="J507" t="s">
        <v>18</v>
      </c>
      <c r="K507" t="s">
        <v>340</v>
      </c>
      <c r="L507" t="s">
        <v>1156</v>
      </c>
    </row>
    <row hidden="1" r="508" s="1" spans="1:12">
      <c r="A508" s="4" t="n">
        <v>43125</v>
      </c>
      <c r="B508" t="s">
        <v>553</v>
      </c>
      <c r="C508" t="s">
        <v>554</v>
      </c>
      <c r="D508" t="s">
        <v>245</v>
      </c>
      <c r="E508" t="s">
        <v>15</v>
      </c>
      <c r="F508" t="s">
        <v>16</v>
      </c>
      <c r="G508" t="s">
        <v>553</v>
      </c>
      <c r="H508">
        <f>HYPERLINK("https://www.jouwictvacature.nl/solliciteren?job=senior-web-architect-bij-ultraware", "Link")</f>
        <v/>
      </c>
      <c r="I508" t="s">
        <v>17</v>
      </c>
      <c r="J508" t="s">
        <v>18</v>
      </c>
      <c r="K508" t="s">
        <v>555</v>
      </c>
      <c r="L508" t="s">
        <v>556</v>
      </c>
    </row>
    <row hidden="1" r="509" s="1" spans="1:12">
      <c r="A509" s="4" t="n">
        <v>43125</v>
      </c>
      <c r="B509" t="s">
        <v>574</v>
      </c>
      <c r="C509" t="s">
        <v>575</v>
      </c>
      <c r="D509" t="s">
        <v>245</v>
      </c>
      <c r="E509" t="s">
        <v>15</v>
      </c>
      <c r="F509" t="s">
        <v>16</v>
      </c>
      <c r="G509" t="s">
        <v>574</v>
      </c>
      <c r="H509">
        <f>HYPERLINK("https://www.jouwictvacature.nl/solliciteren?job=senior-xamarin-ontwikkelaar-bij-webbeat-bij-webbeat", "Link")</f>
        <v/>
      </c>
      <c r="I509" t="s">
        <v>17</v>
      </c>
      <c r="J509" t="s">
        <v>18</v>
      </c>
      <c r="K509" t="s">
        <v>910</v>
      </c>
      <c r="L509" t="s">
        <v>1157</v>
      </c>
    </row>
    <row hidden="1" r="510" s="1" spans="1:12">
      <c r="A510" s="4" t="n">
        <v>43125</v>
      </c>
      <c r="B510" t="s">
        <v>317</v>
      </c>
      <c r="C510" t="s">
        <v>45</v>
      </c>
      <c r="D510" t="s">
        <v>14</v>
      </c>
      <c r="E510" t="s">
        <v>15</v>
      </c>
      <c r="F510" t="s">
        <v>52</v>
      </c>
      <c r="G510" t="s">
        <v>318</v>
      </c>
      <c r="H510">
        <f>HYPERLINK("https://www.jouwictvacature.nl/solliciteren?job=medior-front-end-developer-bij-maximumnl", "Link")</f>
        <v/>
      </c>
      <c r="I510" t="s">
        <v>17</v>
      </c>
      <c r="J510" t="s">
        <v>18</v>
      </c>
      <c r="K510" t="s">
        <v>319</v>
      </c>
      <c r="L510" t="s">
        <v>320</v>
      </c>
    </row>
    <row hidden="1" r="511" s="1" spans="1:12">
      <c r="A511" s="4" t="n">
        <v>43125</v>
      </c>
      <c r="B511" t="s">
        <v>745</v>
      </c>
      <c r="C511" t="s">
        <v>80</v>
      </c>
      <c r="D511" t="s">
        <v>22</v>
      </c>
      <c r="E511" t="s">
        <v>15</v>
      </c>
      <c r="F511" t="s">
        <v>16</v>
      </c>
      <c r="G511" t="s">
        <v>745</v>
      </c>
      <c r="H511">
        <f>HYPERLINK("https://www.jouwictvacature.nl/solliciteren?job=medior-front-end-developer-bij-hostnet", "Link")</f>
        <v/>
      </c>
      <c r="I511" t="s">
        <v>17</v>
      </c>
      <c r="J511" t="s">
        <v>18</v>
      </c>
      <c r="K511" t="s">
        <v>746</v>
      </c>
      <c r="L511" t="s">
        <v>747</v>
      </c>
    </row>
    <row hidden="1" r="512" s="1" spans="1:12">
      <c r="A512" s="4" t="n">
        <v>43125</v>
      </c>
      <c r="B512" t="s">
        <v>742</v>
      </c>
      <c r="C512" t="s">
        <v>62</v>
      </c>
      <c r="D512" t="s">
        <v>245</v>
      </c>
      <c r="E512" t="s">
        <v>15</v>
      </c>
      <c r="F512" t="s">
        <v>16</v>
      </c>
      <c r="G512" t="s">
        <v>742</v>
      </c>
      <c r="H512">
        <f>HYPERLINK("https://www.jouwictvacature.nl/solliciteren?job=medior-front-end-developer-bij-valueblue", "Link")</f>
        <v/>
      </c>
      <c r="I512" t="s">
        <v>17</v>
      </c>
      <c r="J512" t="s">
        <v>18</v>
      </c>
      <c r="K512" t="s">
        <v>743</v>
      </c>
      <c r="L512" t="s">
        <v>744</v>
      </c>
    </row>
    <row hidden="1" r="513" s="1" spans="1:12">
      <c r="A513" s="4" t="n">
        <v>43125</v>
      </c>
      <c r="B513" t="s">
        <v>450</v>
      </c>
      <c r="C513" t="s">
        <v>451</v>
      </c>
      <c r="D513" t="s">
        <v>245</v>
      </c>
      <c r="E513" t="s">
        <v>15</v>
      </c>
      <c r="F513" t="s">
        <v>52</v>
      </c>
      <c r="G513" t="s">
        <v>1158</v>
      </c>
      <c r="H513">
        <f>HYPERLINK("https://www.jouwictvacature.nl/solliciteren?job=medior-java-developer-gezocht-voor-in-house-functie-te-houten-bij-sofi", "Link")</f>
        <v/>
      </c>
      <c r="I513" t="s">
        <v>17</v>
      </c>
      <c r="J513" t="s">
        <v>18</v>
      </c>
      <c r="K513" t="s">
        <v>777</v>
      </c>
      <c r="L513" t="s">
        <v>1159</v>
      </c>
    </row>
    <row hidden="1" r="514" s="1" spans="1:12">
      <c r="A514" s="4" t="n">
        <v>43125</v>
      </c>
      <c r="B514" t="s">
        <v>423</v>
      </c>
      <c r="C514" t="s">
        <v>406</v>
      </c>
      <c r="D514" t="s">
        <v>245</v>
      </c>
      <c r="E514" t="s">
        <v>15</v>
      </c>
      <c r="F514" t="s">
        <v>28</v>
      </c>
      <c r="G514" t="s">
        <v>1160</v>
      </c>
      <c r="H514">
        <f>HYPERLINK("https://www.jouwictvacature.nl/solliciteren?job=senior-java-ontwikkelaar", "Link")</f>
        <v/>
      </c>
      <c r="I514" t="s">
        <v>17</v>
      </c>
      <c r="J514" t="s">
        <v>18</v>
      </c>
      <c r="K514" t="s">
        <v>1161</v>
      </c>
      <c r="L514" t="s">
        <v>1162</v>
      </c>
    </row>
    <row hidden="1" r="515" s="1" spans="1:12">
      <c r="A515" s="4" t="n">
        <v>43125</v>
      </c>
      <c r="B515" t="s">
        <v>693</v>
      </c>
      <c r="C515" t="s">
        <v>694</v>
      </c>
      <c r="D515" t="s">
        <v>22</v>
      </c>
      <c r="E515" t="s">
        <v>15</v>
      </c>
      <c r="F515" t="s">
        <v>16</v>
      </c>
      <c r="G515" t="s">
        <v>693</v>
      </c>
      <c r="H515">
        <f>HYPERLINK("https://www.jouwictvacature.nl/solliciteren?job=traineeship-mendix-developer-bij-de-goudse-verzekeringen-bij-de-goudse", "Link")</f>
        <v/>
      </c>
      <c r="I515" t="s">
        <v>17</v>
      </c>
      <c r="J515" t="s">
        <v>18</v>
      </c>
      <c r="K515" t="s">
        <v>1163</v>
      </c>
      <c r="L515" t="s">
        <v>1164</v>
      </c>
    </row>
    <row hidden="1" r="516" s="1" spans="1:12">
      <c r="A516" s="4" t="n">
        <v>43125</v>
      </c>
      <c r="B516" t="s">
        <v>174</v>
      </c>
      <c r="C516" t="s">
        <v>62</v>
      </c>
      <c r="D516" t="s">
        <v>22</v>
      </c>
      <c r="E516" t="s">
        <v>15</v>
      </c>
      <c r="F516" t="s">
        <v>52</v>
      </c>
      <c r="G516" t="s">
        <v>689</v>
      </c>
      <c r="H516">
        <f>HYPERLINK("https://www.jouwictvacature.nl/solliciteren?job=medior-java-developer--spring-grails-wicket-javascript-scala-bij-dpa-g-2", "Link")</f>
        <v/>
      </c>
      <c r="I516" t="s">
        <v>17</v>
      </c>
      <c r="J516" t="s">
        <v>18</v>
      </c>
      <c r="K516" t="s">
        <v>176</v>
      </c>
      <c r="L516" t="s">
        <v>690</v>
      </c>
    </row>
    <row hidden="1" r="517" s="1" spans="1:12">
      <c r="A517" s="4" t="n">
        <v>43125</v>
      </c>
      <c r="B517" t="s">
        <v>497</v>
      </c>
      <c r="C517" t="s">
        <v>498</v>
      </c>
      <c r="D517" t="s">
        <v>245</v>
      </c>
      <c r="E517" t="s">
        <v>15</v>
      </c>
      <c r="F517" t="s">
        <v>52</v>
      </c>
      <c r="G517" t="s">
        <v>499</v>
      </c>
      <c r="H517">
        <f>HYPERLINK("https://www.jouwictvacature.nl/solliciteren?job=medior-full-stack-ontwikkelaar-bij-sysunite-bv", "Link")</f>
        <v/>
      </c>
      <c r="I517" t="s">
        <v>17</v>
      </c>
      <c r="J517" t="s">
        <v>18</v>
      </c>
      <c r="K517" t="s">
        <v>500</v>
      </c>
      <c r="L517" t="s">
        <v>501</v>
      </c>
    </row>
    <row hidden="1" r="518" s="1" spans="1:12">
      <c r="A518" s="4" t="n">
        <v>43125</v>
      </c>
      <c r="B518" t="s">
        <v>174</v>
      </c>
      <c r="C518" t="s">
        <v>80</v>
      </c>
      <c r="D518" t="s">
        <v>22</v>
      </c>
      <c r="E518" t="s">
        <v>15</v>
      </c>
      <c r="F518" t="s">
        <v>52</v>
      </c>
      <c r="G518" t="s">
        <v>1165</v>
      </c>
      <c r="H518">
        <f>HYPERLINK("https://www.jouwictvacature.nl/solliciteren?job=medior-java-full-stack-developer--ios-phonegap-objective-c-swift-bij-d-2", "Link")</f>
        <v/>
      </c>
      <c r="I518" t="s">
        <v>17</v>
      </c>
      <c r="J518" t="s">
        <v>18</v>
      </c>
      <c r="K518" t="s">
        <v>176</v>
      </c>
      <c r="L518" t="s">
        <v>1166</v>
      </c>
    </row>
    <row hidden="1" r="519" s="1" spans="1:12">
      <c r="A519" s="4" t="n">
        <v>43125</v>
      </c>
      <c r="B519" t="s">
        <v>71</v>
      </c>
      <c r="C519" t="s">
        <v>80</v>
      </c>
      <c r="D519" t="s">
        <v>22</v>
      </c>
      <c r="E519" t="s">
        <v>15</v>
      </c>
      <c r="F519" t="s">
        <v>52</v>
      </c>
      <c r="G519" t="s">
        <v>1167</v>
      </c>
      <c r="H519">
        <f>HYPERLINK("https://www.jouwictvacature.nl/solliciteren?job=medior-feedback-engineer--exploratory-testing-context-driven-testing-b", "Link")</f>
        <v/>
      </c>
      <c r="I519" t="s">
        <v>17</v>
      </c>
      <c r="J519" t="s">
        <v>18</v>
      </c>
      <c r="K519" t="s">
        <v>78</v>
      </c>
      <c r="L519" t="s">
        <v>1168</v>
      </c>
    </row>
    <row hidden="1" r="520" s="1" spans="1:12">
      <c r="A520" s="4" t="n">
        <v>43125</v>
      </c>
      <c r="B520" t="s">
        <v>174</v>
      </c>
      <c r="C520" t="s">
        <v>38</v>
      </c>
      <c r="D520" t="s">
        <v>22</v>
      </c>
      <c r="E520" t="s">
        <v>15</v>
      </c>
      <c r="F520" t="s">
        <v>28</v>
      </c>
      <c r="G520" t="s">
        <v>675</v>
      </c>
      <c r="H520">
        <f>HYPERLINK("https://www.jouwictvacature.nl/solliciteren?job=senior-mobile-developer-bij-dpa-geos-bij-dpa-geos-3", "Link")</f>
        <v/>
      </c>
      <c r="I520" t="s">
        <v>17</v>
      </c>
      <c r="J520" t="s">
        <v>18</v>
      </c>
      <c r="K520" t="s">
        <v>188</v>
      </c>
      <c r="L520" t="s">
        <v>1169</v>
      </c>
    </row>
    <row hidden="1" r="521" s="1" spans="1:12">
      <c r="A521" s="4" t="n">
        <v>43125</v>
      </c>
      <c r="B521" t="s">
        <v>71</v>
      </c>
      <c r="C521" t="s">
        <v>93</v>
      </c>
      <c r="D521" t="s">
        <v>22</v>
      </c>
      <c r="E521" t="s">
        <v>15</v>
      </c>
      <c r="F521" t="s">
        <v>52</v>
      </c>
      <c r="G521" t="s">
        <v>94</v>
      </c>
      <c r="H521">
        <f>HYPERLINK("https://www.jouwictvacature.nl/solliciteren?job=medior-testanalist-bij-bartosz-bij-bartosz-rotterdam", "Link")</f>
        <v/>
      </c>
      <c r="I521" t="s">
        <v>17</v>
      </c>
      <c r="J521" t="s">
        <v>18</v>
      </c>
      <c r="K521" t="s">
        <v>95</v>
      </c>
      <c r="L521" t="s">
        <v>96</v>
      </c>
    </row>
    <row hidden="1" r="522" s="1" spans="1:12">
      <c r="A522" s="4" t="n">
        <v>43125</v>
      </c>
      <c r="B522" t="s">
        <v>71</v>
      </c>
      <c r="C522" t="s">
        <v>80</v>
      </c>
      <c r="D522" t="s">
        <v>22</v>
      </c>
      <c r="E522" t="s">
        <v>15</v>
      </c>
      <c r="F522" t="s">
        <v>34</v>
      </c>
      <c r="G522" t="s">
        <v>1170</v>
      </c>
      <c r="H522">
        <f>HYPERLINK("https://www.jouwictvacature.nl/solliciteren?job=junior-agile-test-specialist-bij-bartosz", "Link")</f>
        <v/>
      </c>
      <c r="I522" t="s">
        <v>17</v>
      </c>
      <c r="J522" t="s">
        <v>18</v>
      </c>
      <c r="K522" t="s">
        <v>91</v>
      </c>
      <c r="L522" t="s">
        <v>1171</v>
      </c>
    </row>
    <row hidden="1" r="523" s="1" spans="1:12">
      <c r="A523" s="4" t="n">
        <v>43125</v>
      </c>
      <c r="B523" t="s">
        <v>104</v>
      </c>
      <c r="C523" t="s">
        <v>38</v>
      </c>
      <c r="D523" t="s">
        <v>22</v>
      </c>
      <c r="E523" t="s">
        <v>15</v>
      </c>
      <c r="F523" t="s">
        <v>16</v>
      </c>
      <c r="G523" t="s">
        <v>104</v>
      </c>
      <c r="H523">
        <f>HYPERLINK("https://www.jouwictvacature.nl/solliciteren?job=microsoft-net-lead-developer-bij-betabit-regio-eindhoven", "Link")</f>
        <v/>
      </c>
      <c r="I523" t="s">
        <v>17</v>
      </c>
      <c r="J523" t="s">
        <v>18</v>
      </c>
      <c r="K523" t="s">
        <v>1172</v>
      </c>
      <c r="L523" t="s">
        <v>1173</v>
      </c>
    </row>
    <row hidden="1" r="524" s="1" spans="1:12">
      <c r="A524" s="4" t="n">
        <v>43125</v>
      </c>
      <c r="B524" t="s">
        <v>308</v>
      </c>
      <c r="C524" t="s">
        <v>309</v>
      </c>
      <c r="D524" t="s">
        <v>14</v>
      </c>
      <c r="E524" t="s">
        <v>15</v>
      </c>
      <c r="F524" t="s">
        <v>16</v>
      </c>
      <c r="G524" t="s">
        <v>937</v>
      </c>
      <c r="H524">
        <f>HYPERLINK("https://www.jouwictvacature.nl/solliciteren?job=operator-bij-marketgraph-voor-in-de-mediabranche", "Link")</f>
        <v/>
      </c>
      <c r="I524" t="s">
        <v>17</v>
      </c>
      <c r="J524" t="s">
        <v>18</v>
      </c>
      <c r="K524" t="s">
        <v>311</v>
      </c>
      <c r="L524" t="s">
        <v>938</v>
      </c>
    </row>
    <row hidden="1" r="525" s="1" spans="1:12">
      <c r="A525" s="4" t="n">
        <v>43125</v>
      </c>
      <c r="B525" t="s">
        <v>574</v>
      </c>
      <c r="C525" t="s">
        <v>575</v>
      </c>
      <c r="D525" t="s">
        <v>245</v>
      </c>
      <c r="E525" t="s">
        <v>15</v>
      </c>
      <c r="F525" t="s">
        <v>16</v>
      </c>
      <c r="G525" t="s">
        <v>574</v>
      </c>
      <c r="H525">
        <f>HYPERLINK("https://www.jouwictvacature.nl/solliciteren?job=senior-net-ontwikkelaar-bij-webbeat-", "Link")</f>
        <v/>
      </c>
      <c r="I525" t="s">
        <v>17</v>
      </c>
      <c r="J525" t="s">
        <v>18</v>
      </c>
      <c r="K525" t="s">
        <v>583</v>
      </c>
      <c r="L525" t="s">
        <v>584</v>
      </c>
    </row>
    <row hidden="1" r="526" s="1" spans="1:12">
      <c r="A526" s="4" t="n">
        <v>43125</v>
      </c>
      <c r="B526" t="s">
        <v>701</v>
      </c>
      <c r="C526" t="s">
        <v>702</v>
      </c>
      <c r="D526" t="s">
        <v>22</v>
      </c>
      <c r="E526" t="s">
        <v>15</v>
      </c>
      <c r="F526" t="s">
        <v>16</v>
      </c>
      <c r="G526" t="s">
        <v>1127</v>
      </c>
      <c r="H526">
        <f>HYPERLINK("https://www.jouwictvacature.nl/solliciteren?job=backend-developer-c-aspnet", "Link")</f>
        <v/>
      </c>
      <c r="I526" t="s">
        <v>17</v>
      </c>
      <c r="J526" t="s">
        <v>18</v>
      </c>
      <c r="K526" t="s">
        <v>704</v>
      </c>
      <c r="L526" t="s">
        <v>1128</v>
      </c>
    </row>
    <row hidden="1" r="527" s="1" spans="1:12">
      <c r="A527" s="4" t="n">
        <v>43125</v>
      </c>
      <c r="B527" t="s">
        <v>1174</v>
      </c>
      <c r="C527" t="s">
        <v>1175</v>
      </c>
      <c r="D527" t="s">
        <v>22</v>
      </c>
      <c r="E527" t="s">
        <v>15</v>
      </c>
      <c r="F527" t="s">
        <v>52</v>
      </c>
      <c r="G527" t="s">
        <v>1176</v>
      </c>
      <c r="H527">
        <f>HYPERLINK("https://www.jouwictvacature.nl/solliciteren?job=medior-c-developer-bij-everbinding-in-woerden", "Link")</f>
        <v/>
      </c>
      <c r="I527" t="s">
        <v>17</v>
      </c>
      <c r="J527" t="s">
        <v>18</v>
      </c>
      <c r="K527" t="s">
        <v>1177</v>
      </c>
      <c r="L527" t="s">
        <v>1178</v>
      </c>
    </row>
    <row hidden="1" r="528" s="1" spans="1:12">
      <c r="A528" s="4" t="n">
        <v>43125</v>
      </c>
      <c r="B528" t="s">
        <v>251</v>
      </c>
      <c r="C528" t="s">
        <v>80</v>
      </c>
      <c r="D528" t="s">
        <v>14</v>
      </c>
      <c r="E528" t="s">
        <v>15</v>
      </c>
      <c r="F528" t="s">
        <v>16</v>
      </c>
      <c r="G528" t="s">
        <v>1132</v>
      </c>
      <c r="H528">
        <f>HYPERLINK("https://www.jouwictvacature.nl/solliciteren?job=technical-lead-net-bij-icatt--inhouse--mogelijkheid-tot-parttime--ople", "Link")</f>
        <v/>
      </c>
      <c r="I528" t="s">
        <v>17</v>
      </c>
      <c r="J528" t="s">
        <v>18</v>
      </c>
      <c r="K528" t="s">
        <v>624</v>
      </c>
      <c r="L528" t="s">
        <v>1133</v>
      </c>
    </row>
    <row hidden="1" r="529" s="1" spans="1:12">
      <c r="A529" s="4" t="n">
        <v>43125</v>
      </c>
      <c r="B529" t="s">
        <v>455</v>
      </c>
      <c r="C529" t="s">
        <v>456</v>
      </c>
      <c r="D529" t="s">
        <v>245</v>
      </c>
      <c r="E529" t="s">
        <v>15</v>
      </c>
      <c r="F529" t="s">
        <v>52</v>
      </c>
      <c r="G529" t="s">
        <v>859</v>
      </c>
      <c r="H529">
        <f>HYPERLINK("https://www.jouwictvacature.nl/solliciteren?job=net-engineer-bij-sogeti", "Link")</f>
        <v/>
      </c>
      <c r="I529" t="s">
        <v>17</v>
      </c>
      <c r="J529" t="s">
        <v>18</v>
      </c>
      <c r="K529" t="s">
        <v>466</v>
      </c>
      <c r="L529" t="s">
        <v>860</v>
      </c>
    </row>
    <row hidden="1" r="530" s="1" spans="1:12">
      <c r="A530" s="4" t="n">
        <v>43125</v>
      </c>
      <c r="B530" t="s">
        <v>693</v>
      </c>
      <c r="C530" t="s">
        <v>694</v>
      </c>
      <c r="D530" t="s">
        <v>22</v>
      </c>
      <c r="E530" t="s">
        <v>15</v>
      </c>
      <c r="F530" t="s">
        <v>16</v>
      </c>
      <c r="G530" t="s">
        <v>693</v>
      </c>
      <c r="H530">
        <f>HYPERLINK("https://www.jouwictvacature.nl/solliciteren?job=traineeship-mendix-developer-bij-de-goudse-verzekeringen-bij-de-goudse", "Link")</f>
        <v/>
      </c>
      <c r="I530" t="s">
        <v>17</v>
      </c>
      <c r="J530" t="s">
        <v>18</v>
      </c>
      <c r="K530" t="s">
        <v>1163</v>
      </c>
      <c r="L530" t="s">
        <v>1164</v>
      </c>
    </row>
    <row r="531" spans="1:12">
      <c r="A531" s="4" t="n">
        <v>43125</v>
      </c>
      <c r="B531" t="s">
        <v>382</v>
      </c>
      <c r="C531" t="s">
        <v>274</v>
      </c>
      <c r="D531" t="s">
        <v>14</v>
      </c>
      <c r="E531" t="s">
        <v>51</v>
      </c>
      <c r="F531" t="s">
        <v>34</v>
      </c>
      <c r="G531" t="s">
        <v>1179</v>
      </c>
      <c r="H531">
        <f>HYPERLINK("https://www.jouwictvacature.nl/solliciteren?job=junior-software-engineer--3", "Link")</f>
        <v/>
      </c>
      <c r="I531" t="s">
        <v>17</v>
      </c>
      <c r="J531" t="s">
        <v>18</v>
      </c>
      <c r="K531" t="s">
        <v>1180</v>
      </c>
      <c r="L531" t="s">
        <v>1181</v>
      </c>
    </row>
    <row hidden="1" r="532" s="1" spans="1:12">
      <c r="A532" s="4" t="n">
        <v>43125</v>
      </c>
      <c r="B532" t="s">
        <v>1182</v>
      </c>
      <c r="C532" t="s">
        <v>806</v>
      </c>
      <c r="D532" t="s">
        <v>22</v>
      </c>
      <c r="E532" t="s">
        <v>15</v>
      </c>
      <c r="F532" t="s">
        <v>16</v>
      </c>
      <c r="G532" t="s">
        <v>1183</v>
      </c>
      <c r="H532">
        <f>HYPERLINK("https://www.jouwictvacature.nl/solliciteren?job=java-developer-leeuwarden", "Link")</f>
        <v/>
      </c>
      <c r="I532" t="s">
        <v>17</v>
      </c>
      <c r="J532" t="s">
        <v>18</v>
      </c>
      <c r="K532" t="s">
        <v>1184</v>
      </c>
      <c r="L532" t="s">
        <v>1185</v>
      </c>
    </row>
    <row hidden="1" r="533" s="1" spans="1:12">
      <c r="A533" s="4" t="n">
        <v>43125</v>
      </c>
      <c r="B533" t="s">
        <v>561</v>
      </c>
      <c r="C533" t="s">
        <v>522</v>
      </c>
      <c r="D533" t="s">
        <v>245</v>
      </c>
      <c r="E533" t="s">
        <v>15</v>
      </c>
      <c r="F533" t="s">
        <v>16</v>
      </c>
      <c r="G533" t="s">
        <v>561</v>
      </c>
      <c r="H533">
        <f>HYPERLINK("https://www.jouwictvacature.nl/solliciteren?job=senior-java-developer-bij-de-universiteit-twente", "Link")</f>
        <v/>
      </c>
      <c r="I533" t="s">
        <v>17</v>
      </c>
      <c r="J533" t="s">
        <v>18</v>
      </c>
      <c r="K533" t="s">
        <v>599</v>
      </c>
      <c r="L533" t="s">
        <v>600</v>
      </c>
    </row>
    <row hidden="1" r="534" s="1" spans="1:12">
      <c r="A534" s="4" t="n">
        <v>43125</v>
      </c>
      <c r="B534" t="s">
        <v>71</v>
      </c>
      <c r="C534" t="s">
        <v>72</v>
      </c>
      <c r="D534" t="s">
        <v>22</v>
      </c>
      <c r="E534" t="s">
        <v>15</v>
      </c>
      <c r="F534" t="s">
        <v>52</v>
      </c>
      <c r="G534" t="s">
        <v>77</v>
      </c>
      <c r="H534">
        <f>HYPERLINK("https://www.jouwictvacature.nl/solliciteren?job=medior-feedback-engineer--exploratory-testing-context-driven-testing-b-6", "Link")</f>
        <v/>
      </c>
      <c r="I534" t="s">
        <v>17</v>
      </c>
      <c r="J534" t="s">
        <v>18</v>
      </c>
      <c r="K534" t="s">
        <v>78</v>
      </c>
      <c r="L534" t="s">
        <v>1186</v>
      </c>
    </row>
    <row hidden="1" r="535" s="1" spans="1:12">
      <c r="A535" s="4" t="n">
        <v>43125</v>
      </c>
      <c r="B535" t="s">
        <v>442</v>
      </c>
      <c r="C535" t="s">
        <v>13</v>
      </c>
      <c r="D535" t="s">
        <v>245</v>
      </c>
      <c r="E535" t="s">
        <v>15</v>
      </c>
      <c r="F535" t="s">
        <v>28</v>
      </c>
      <c r="G535" t="s">
        <v>601</v>
      </c>
      <c r="H535">
        <f>HYPERLINK("https://www.jouwictvacature.nl/solliciteren?job=senior-fullstack-software-ontwikkelaar--java-javascript-angular2-sprin", "Link")</f>
        <v/>
      </c>
      <c r="I535" t="s">
        <v>17</v>
      </c>
      <c r="J535" t="s">
        <v>18</v>
      </c>
      <c r="K535" t="s">
        <v>444</v>
      </c>
      <c r="L535" t="s">
        <v>602</v>
      </c>
    </row>
    <row hidden="1" r="536" s="1" spans="1:12">
      <c r="A536" s="4" t="n">
        <v>43125</v>
      </c>
      <c r="B536" t="s">
        <v>71</v>
      </c>
      <c r="C536" t="s">
        <v>80</v>
      </c>
      <c r="D536" t="s">
        <v>22</v>
      </c>
      <c r="E536" t="s">
        <v>15</v>
      </c>
      <c r="F536" t="s">
        <v>28</v>
      </c>
      <c r="G536" t="s">
        <v>88</v>
      </c>
      <c r="H536">
        <f>HYPERLINK("https://www.jouwictvacature.nl/solliciteren?job=senior-feedback-engineer-bij-bartosz-bij-bartosz-amsterdam", "Link")</f>
        <v/>
      </c>
      <c r="I536" t="s">
        <v>17</v>
      </c>
      <c r="J536" t="s">
        <v>18</v>
      </c>
      <c r="K536" t="s">
        <v>78</v>
      </c>
      <c r="L536" t="s">
        <v>1187</v>
      </c>
    </row>
    <row hidden="1" r="537" s="1" spans="1:12">
      <c r="A537" s="4" t="n">
        <v>43125</v>
      </c>
      <c r="B537" t="s">
        <v>237</v>
      </c>
      <c r="C537" t="s">
        <v>93</v>
      </c>
      <c r="D537" t="s">
        <v>22</v>
      </c>
      <c r="E537" t="s">
        <v>15</v>
      </c>
      <c r="F537" t="s">
        <v>28</v>
      </c>
      <c r="G537" t="s">
        <v>1188</v>
      </c>
      <c r="H537">
        <f>HYPERLINK("https://www.jouwictvacature.nl/solliciteren?job=senior-java-developer--spring-angularjs-soap-rest-api-jenkins-bij-hybr-3", "Link")</f>
        <v/>
      </c>
      <c r="I537" t="s">
        <v>17</v>
      </c>
      <c r="J537" t="s">
        <v>18</v>
      </c>
      <c r="K537" t="s">
        <v>1189</v>
      </c>
      <c r="L537" t="s">
        <v>1190</v>
      </c>
    </row>
    <row hidden="1" r="538" s="1" spans="1:12">
      <c r="A538" s="4" t="n">
        <v>43125</v>
      </c>
      <c r="B538" t="s">
        <v>71</v>
      </c>
      <c r="C538" t="s">
        <v>38</v>
      </c>
      <c r="D538" t="s">
        <v>22</v>
      </c>
      <c r="E538" t="s">
        <v>15</v>
      </c>
      <c r="F538" t="s">
        <v>16</v>
      </c>
      <c r="G538" t="s">
        <v>607</v>
      </c>
      <c r="H538">
        <f>HYPERLINK("https://www.jouwictvacature.nl/solliciteren?job=startende-agile-test-engineer-bij-bartosz-bij-bartosz-eindhoven", "Link")</f>
        <v/>
      </c>
      <c r="I538" t="s">
        <v>17</v>
      </c>
      <c r="J538" t="s">
        <v>18</v>
      </c>
      <c r="K538" t="s">
        <v>608</v>
      </c>
      <c r="L538" t="s">
        <v>609</v>
      </c>
    </row>
    <row hidden="1" r="539" s="1" spans="1:12">
      <c r="A539" s="4" t="n">
        <v>43125</v>
      </c>
      <c r="B539" t="s">
        <v>450</v>
      </c>
      <c r="C539" t="s">
        <v>451</v>
      </c>
      <c r="D539" t="s">
        <v>245</v>
      </c>
      <c r="E539" t="s">
        <v>15</v>
      </c>
      <c r="F539" t="s">
        <v>34</v>
      </c>
      <c r="G539" t="s">
        <v>1191</v>
      </c>
      <c r="H539">
        <f>HYPERLINK("https://www.jouwictvacature.nl/solliciteren?job=junior-java-developer-in-automotive-sector--ms-sql-oracle-jsp", "Link")</f>
        <v/>
      </c>
      <c r="I539" t="s">
        <v>17</v>
      </c>
      <c r="J539" t="s">
        <v>18</v>
      </c>
      <c r="K539" t="s">
        <v>777</v>
      </c>
      <c r="L539" t="s">
        <v>1192</v>
      </c>
    </row>
    <row hidden="1" r="540" s="1" spans="1:12">
      <c r="A540" s="4" t="n">
        <v>43125</v>
      </c>
      <c r="B540" t="s">
        <v>136</v>
      </c>
      <c r="C540" t="s">
        <v>137</v>
      </c>
      <c r="D540" t="s">
        <v>22</v>
      </c>
      <c r="E540" t="s">
        <v>15</v>
      </c>
      <c r="F540" t="s">
        <v>16</v>
      </c>
      <c r="G540" t="s">
        <v>138</v>
      </c>
      <c r="H540">
        <f>HYPERLINK("https://www.jouwictvacature.nl/solliciteren?job=java-software-developer-bij-cgi", "Link")</f>
        <v/>
      </c>
      <c r="I540" t="s">
        <v>17</v>
      </c>
      <c r="J540" t="s">
        <v>18</v>
      </c>
      <c r="K540" t="s">
        <v>139</v>
      </c>
      <c r="L540" t="s">
        <v>140</v>
      </c>
    </row>
    <row hidden="1" r="541" s="1" spans="1:12">
      <c r="A541" s="4" t="n">
        <v>43125</v>
      </c>
      <c r="B541" t="s">
        <v>164</v>
      </c>
      <c r="C541" t="s">
        <v>80</v>
      </c>
      <c r="D541" t="s">
        <v>22</v>
      </c>
      <c r="E541" t="s">
        <v>15</v>
      </c>
      <c r="F541" t="s">
        <v>28</v>
      </c>
      <c r="G541" t="s">
        <v>1193</v>
      </c>
      <c r="H541">
        <f>HYPERLINK("https://www.jouwictvacature.nl/solliciteren?job=senior-embedded-developer-bij-dexels-bij-dexels", "Link")</f>
        <v/>
      </c>
      <c r="I541" t="s">
        <v>17</v>
      </c>
      <c r="J541" t="s">
        <v>18</v>
      </c>
      <c r="K541" t="s">
        <v>1194</v>
      </c>
      <c r="L541" t="s">
        <v>1195</v>
      </c>
    </row>
    <row r="542" spans="1:12">
      <c r="A542" s="4" t="n">
        <v>43125</v>
      </c>
      <c r="B542" t="s">
        <v>963</v>
      </c>
      <c r="C542" t="s">
        <v>38</v>
      </c>
      <c r="D542" t="s">
        <v>14</v>
      </c>
      <c r="E542" t="s">
        <v>51</v>
      </c>
      <c r="F542" t="s">
        <v>52</v>
      </c>
      <c r="G542" t="s">
        <v>1196</v>
      </c>
      <c r="H542">
        <f>HYPERLINK("https://www.jouwictvacature.nl/solliciteren?job=medior-software-engineer-focus-on-front-end-bij-pyton-an-amadeus-compa", "Link")</f>
        <v/>
      </c>
      <c r="I542" t="s">
        <v>17</v>
      </c>
      <c r="J542" t="s">
        <v>18</v>
      </c>
      <c r="K542" t="s">
        <v>965</v>
      </c>
      <c r="L542" t="s">
        <v>1197</v>
      </c>
    </row>
    <row hidden="1" r="543" s="1" spans="1:12">
      <c r="A543" s="4" t="n">
        <v>43125</v>
      </c>
      <c r="B543" t="s">
        <v>618</v>
      </c>
      <c r="C543" t="s">
        <v>619</v>
      </c>
      <c r="D543" t="s">
        <v>22</v>
      </c>
      <c r="E543" t="s">
        <v>15</v>
      </c>
      <c r="F543" t="s">
        <v>34</v>
      </c>
      <c r="G543" t="s">
        <v>1198</v>
      </c>
      <c r="H543">
        <f>HYPERLINK("https://www.jouwictvacature.nl/solliciteren?job=juniormediorsenior-fullstack-developer", "Link")</f>
        <v/>
      </c>
      <c r="I543" t="s">
        <v>17</v>
      </c>
      <c r="J543" t="s">
        <v>18</v>
      </c>
      <c r="K543" t="s">
        <v>621</v>
      </c>
      <c r="L543" t="s">
        <v>1199</v>
      </c>
    </row>
    <row hidden="1" r="544" s="1" spans="1:12">
      <c r="A544" s="4" t="n">
        <v>43125</v>
      </c>
      <c r="B544" t="s">
        <v>455</v>
      </c>
      <c r="C544" t="s">
        <v>309</v>
      </c>
      <c r="D544" t="s">
        <v>245</v>
      </c>
      <c r="E544" t="s">
        <v>15</v>
      </c>
      <c r="F544" t="s">
        <v>52</v>
      </c>
      <c r="G544" t="s">
        <v>463</v>
      </c>
      <c r="H544">
        <f>HYPERLINK("https://www.jouwictvacature.nl/solliciteren?job=microsoft-sharepoint-specialist-bij-sogeti-3", "Link")</f>
        <v/>
      </c>
      <c r="I544" t="s">
        <v>17</v>
      </c>
      <c r="J544" t="s">
        <v>18</v>
      </c>
      <c r="K544" t="s">
        <v>458</v>
      </c>
      <c r="L544" t="s">
        <v>464</v>
      </c>
    </row>
    <row hidden="1" r="545" s="1" spans="1:12">
      <c r="A545" s="4" t="n">
        <v>43125</v>
      </c>
      <c r="B545" t="s">
        <v>437</v>
      </c>
      <c r="C545" t="s">
        <v>438</v>
      </c>
      <c r="D545" t="s">
        <v>245</v>
      </c>
      <c r="E545" t="s">
        <v>15</v>
      </c>
      <c r="F545" t="s">
        <v>16</v>
      </c>
      <c r="G545" t="s">
        <v>616</v>
      </c>
      <c r="H545">
        <f>HYPERLINK("https://www.jouwictvacature.nl/solliciteren?job=net-developer--2", "Link")</f>
        <v/>
      </c>
      <c r="I545" t="s">
        <v>17</v>
      </c>
      <c r="J545" t="s">
        <v>18</v>
      </c>
      <c r="K545" t="s">
        <v>440</v>
      </c>
      <c r="L545" t="s">
        <v>617</v>
      </c>
    </row>
    <row hidden="1" r="546" s="1" spans="1:12">
      <c r="A546" s="4" t="n">
        <v>43125</v>
      </c>
      <c r="B546" t="s">
        <v>405</v>
      </c>
      <c r="C546" t="s">
        <v>406</v>
      </c>
      <c r="D546" t="s">
        <v>14</v>
      </c>
      <c r="E546" t="s">
        <v>15</v>
      </c>
      <c r="F546" t="s">
        <v>16</v>
      </c>
      <c r="G546" t="s">
        <v>409</v>
      </c>
      <c r="H546">
        <f>HYPERLINK("https://www.jouwictvacature.nl/solliciteren?job=functionele-sharepoint-consultant-2", "Link")</f>
        <v/>
      </c>
      <c r="I546" t="s">
        <v>17</v>
      </c>
      <c r="J546" t="s">
        <v>18</v>
      </c>
      <c r="K546" t="s">
        <v>410</v>
      </c>
      <c r="L546" t="s">
        <v>411</v>
      </c>
    </row>
    <row hidden="1" r="547" s="1" spans="1:12">
      <c r="A547" s="4" t="n">
        <v>43125</v>
      </c>
      <c r="B547" t="s">
        <v>1174</v>
      </c>
      <c r="C547" t="s">
        <v>1175</v>
      </c>
      <c r="D547" t="s">
        <v>14</v>
      </c>
      <c r="E547" t="s">
        <v>15</v>
      </c>
      <c r="F547" t="s">
        <v>34</v>
      </c>
      <c r="G547" t="s">
        <v>1200</v>
      </c>
      <c r="H547">
        <f>HYPERLINK("https://www.jouwictvacature.nl/solliciteren?job=junior-c-developer-bij-everbinding-in-woerden", "Link")</f>
        <v/>
      </c>
      <c r="I547" t="s">
        <v>17</v>
      </c>
      <c r="J547" t="s">
        <v>18</v>
      </c>
      <c r="K547" t="s">
        <v>1177</v>
      </c>
      <c r="L547" t="s">
        <v>1201</v>
      </c>
    </row>
    <row hidden="1" r="548" s="1" spans="1:12">
      <c r="A548" s="4" t="n">
        <v>43125</v>
      </c>
      <c r="B548" t="s">
        <v>308</v>
      </c>
      <c r="C548" t="s">
        <v>309</v>
      </c>
      <c r="D548" t="s">
        <v>14</v>
      </c>
      <c r="E548" t="s">
        <v>15</v>
      </c>
      <c r="F548" t="s">
        <v>16</v>
      </c>
      <c r="G548" t="s">
        <v>937</v>
      </c>
      <c r="H548">
        <f>HYPERLINK("https://www.jouwictvacature.nl/solliciteren?job=operator-bij-marketgraph-voor-in-de-mediabranche", "Link")</f>
        <v/>
      </c>
      <c r="I548" t="s">
        <v>17</v>
      </c>
      <c r="J548" t="s">
        <v>18</v>
      </c>
      <c r="K548" t="s">
        <v>311</v>
      </c>
      <c r="L548" t="s">
        <v>938</v>
      </c>
    </row>
    <row hidden="1" r="549" s="1" spans="1:12">
      <c r="A549" s="4" t="n">
        <v>43125</v>
      </c>
      <c r="B549" t="s">
        <v>1174</v>
      </c>
      <c r="C549" t="s">
        <v>1175</v>
      </c>
      <c r="D549" t="s">
        <v>14</v>
      </c>
      <c r="E549" t="s">
        <v>15</v>
      </c>
      <c r="F549" t="s">
        <v>34</v>
      </c>
      <c r="G549" t="s">
        <v>1202</v>
      </c>
      <c r="H549">
        <f>HYPERLINK("https://www.jouwictvacature.nl/solliciteren?job=junior-c-developer-met-affiniteit-voor-blockchain-machine-learning-en-", "Link")</f>
        <v/>
      </c>
      <c r="I549" t="s">
        <v>17</v>
      </c>
      <c r="J549" t="s">
        <v>18</v>
      </c>
      <c r="K549" t="s">
        <v>1177</v>
      </c>
      <c r="L549" t="s">
        <v>1203</v>
      </c>
    </row>
    <row hidden="1" r="550" s="1" spans="1:12">
      <c r="A550" s="4" t="n">
        <v>43125</v>
      </c>
      <c r="B550" t="s">
        <v>455</v>
      </c>
      <c r="C550" t="s">
        <v>309</v>
      </c>
      <c r="D550" t="s">
        <v>245</v>
      </c>
      <c r="E550" t="s">
        <v>15</v>
      </c>
      <c r="F550" t="s">
        <v>28</v>
      </c>
      <c r="G550" t="s">
        <v>1204</v>
      </c>
      <c r="H550">
        <f>HYPERLINK("https://www.jouwictvacature.nl/solliciteren?job=medior-microsoft-sharepoint-specialist-bij-sogeti-5", "Link")</f>
        <v/>
      </c>
      <c r="I550" t="s">
        <v>17</v>
      </c>
      <c r="J550" t="s">
        <v>18</v>
      </c>
      <c r="K550" t="s">
        <v>458</v>
      </c>
      <c r="L550" t="s">
        <v>1205</v>
      </c>
    </row>
    <row hidden="1" r="551" s="1" spans="1:12">
      <c r="A551" s="4" t="n">
        <v>43125</v>
      </c>
      <c r="B551" t="s">
        <v>405</v>
      </c>
      <c r="C551" t="s">
        <v>412</v>
      </c>
      <c r="D551" t="s">
        <v>14</v>
      </c>
      <c r="E551" t="s">
        <v>15</v>
      </c>
      <c r="F551" t="s">
        <v>16</v>
      </c>
      <c r="G551" t="s">
        <v>1206</v>
      </c>
      <c r="H551">
        <f>HYPERLINK("https://www.jouwictvacature.nl/solliciteren?job=functionele-sharepoint-consultant", "Link")</f>
        <v/>
      </c>
      <c r="I551" t="s">
        <v>17</v>
      </c>
      <c r="J551" t="s">
        <v>18</v>
      </c>
      <c r="K551" t="s">
        <v>410</v>
      </c>
      <c r="L551" t="s">
        <v>1207</v>
      </c>
    </row>
    <row hidden="1" r="552" s="1" spans="1:12">
      <c r="A552" s="4" t="n">
        <v>43125</v>
      </c>
      <c r="B552" t="s">
        <v>230</v>
      </c>
      <c r="C552" t="s">
        <v>93</v>
      </c>
      <c r="D552" t="s">
        <v>22</v>
      </c>
      <c r="E552" t="s">
        <v>15</v>
      </c>
      <c r="F552" t="s">
        <v>34</v>
      </c>
      <c r="G552" t="s">
        <v>717</v>
      </c>
      <c r="H552">
        <f>HYPERLINK("https://www.jouwictvacature.nl/solliciteren?job=junior-php-programmeur-bij-hvmp-marketing--ernesto-", "Link")</f>
        <v/>
      </c>
      <c r="I552" t="s">
        <v>17</v>
      </c>
      <c r="J552" t="s">
        <v>18</v>
      </c>
      <c r="K552" t="s">
        <v>235</v>
      </c>
      <c r="L552" t="s">
        <v>718</v>
      </c>
    </row>
    <row hidden="1" r="553" s="1" spans="1:12">
      <c r="A553" s="4" t="n">
        <v>43125</v>
      </c>
      <c r="B553" t="s">
        <v>342</v>
      </c>
      <c r="C553" t="s">
        <v>309</v>
      </c>
      <c r="D553" t="s">
        <v>14</v>
      </c>
      <c r="E553" t="s">
        <v>15</v>
      </c>
      <c r="F553" t="s">
        <v>52</v>
      </c>
      <c r="G553" t="s">
        <v>343</v>
      </c>
      <c r="H553">
        <f>HYPERLINK("https://www.jouwictvacature.nl/solliciteren?job=php-developer-bij-muntz", "Link")</f>
        <v/>
      </c>
      <c r="I553" t="s">
        <v>17</v>
      </c>
      <c r="J553" t="s">
        <v>18</v>
      </c>
      <c r="K553" t="s">
        <v>344</v>
      </c>
      <c r="L553" t="s">
        <v>345</v>
      </c>
    </row>
    <row hidden="1" r="554" s="1" spans="1:12">
      <c r="A554" s="4" t="n">
        <v>43125</v>
      </c>
      <c r="B554" t="s">
        <v>26</v>
      </c>
      <c r="C554" t="s">
        <v>27</v>
      </c>
      <c r="D554" t="s">
        <v>22</v>
      </c>
      <c r="E554" t="s">
        <v>15</v>
      </c>
      <c r="F554" t="s">
        <v>28</v>
      </c>
      <c r="G554" t="s">
        <v>32</v>
      </c>
      <c r="H554">
        <f>HYPERLINK("https://www.jouwictvacature.nl/solliciteren?job=senior-php-back-end-developer-bij-aan-zee-communicatie", "Link")</f>
        <v/>
      </c>
      <c r="I554" t="s">
        <v>17</v>
      </c>
      <c r="J554" t="s">
        <v>18</v>
      </c>
      <c r="K554" t="s">
        <v>30</v>
      </c>
      <c r="L554" t="s">
        <v>33</v>
      </c>
    </row>
    <row hidden="1" r="555" s="1" spans="1:12">
      <c r="A555" s="4" t="n">
        <v>43125</v>
      </c>
      <c r="B555" t="s">
        <v>1145</v>
      </c>
      <c r="C555" t="s">
        <v>1146</v>
      </c>
      <c r="D555" t="s">
        <v>245</v>
      </c>
      <c r="E555" t="s">
        <v>15</v>
      </c>
      <c r="F555" t="s">
        <v>16</v>
      </c>
      <c r="G555" t="s">
        <v>1147</v>
      </c>
      <c r="H555">
        <f>HYPERLINK("https://www.jouwictvacature.nl/solliciteren?job=full-stack-php-programmeur", "Link")</f>
        <v/>
      </c>
      <c r="I555" t="s">
        <v>17</v>
      </c>
      <c r="J555" t="s">
        <v>18</v>
      </c>
      <c r="K555" t="s">
        <v>1148</v>
      </c>
      <c r="L555" t="s">
        <v>1149</v>
      </c>
    </row>
    <row hidden="1" r="556" s="1" spans="1:12">
      <c r="A556" s="4" t="n">
        <v>43125</v>
      </c>
      <c r="B556" t="s">
        <v>317</v>
      </c>
      <c r="C556" t="s">
        <v>45</v>
      </c>
      <c r="D556" t="s">
        <v>14</v>
      </c>
      <c r="E556" t="s">
        <v>15</v>
      </c>
      <c r="F556" t="s">
        <v>52</v>
      </c>
      <c r="G556" t="s">
        <v>318</v>
      </c>
      <c r="H556">
        <f>HYPERLINK("https://www.jouwictvacature.nl/solliciteren?job=medior-front-end-developer-bij-maximumnl", "Link")</f>
        <v/>
      </c>
      <c r="I556" t="s">
        <v>17</v>
      </c>
      <c r="J556" t="s">
        <v>18</v>
      </c>
      <c r="K556" t="s">
        <v>319</v>
      </c>
      <c r="L556" t="s">
        <v>320</v>
      </c>
    </row>
    <row hidden="1" r="557" s="1" spans="1:12">
      <c r="A557" s="4" t="n">
        <v>43125</v>
      </c>
      <c r="B557" t="s">
        <v>26</v>
      </c>
      <c r="C557" t="s">
        <v>27</v>
      </c>
      <c r="D557" t="s">
        <v>22</v>
      </c>
      <c r="E557" t="s">
        <v>15</v>
      </c>
      <c r="F557" t="s">
        <v>52</v>
      </c>
      <c r="G557" t="s">
        <v>641</v>
      </c>
      <c r="H557">
        <f>HYPERLINK("https://www.jouwictvacature.nl/solliciteren?job=medior-laravel-developer-bij-aan-zee-communicatie", "Link")</f>
        <v/>
      </c>
      <c r="I557" t="s">
        <v>17</v>
      </c>
      <c r="J557" t="s">
        <v>18</v>
      </c>
      <c r="K557" t="s">
        <v>30</v>
      </c>
      <c r="L557" t="s">
        <v>642</v>
      </c>
    </row>
    <row hidden="1" r="558" s="1" spans="1:12">
      <c r="A558" s="4" t="n">
        <v>43125</v>
      </c>
      <c r="B558" t="s">
        <v>478</v>
      </c>
      <c r="C558" t="s">
        <v>479</v>
      </c>
      <c r="D558" t="s">
        <v>245</v>
      </c>
      <c r="E558" t="s">
        <v>15</v>
      </c>
      <c r="F558" t="s">
        <v>16</v>
      </c>
      <c r="G558" t="s">
        <v>1010</v>
      </c>
      <c r="H558">
        <f>HYPERLINK("https://www.jouwictvacature.nl/solliciteren?job=gedreven-junior-zend-developer-bij-square", "Link")</f>
        <v/>
      </c>
      <c r="I558" t="s">
        <v>17</v>
      </c>
      <c r="J558" t="s">
        <v>18</v>
      </c>
      <c r="K558" t="s">
        <v>1011</v>
      </c>
      <c r="L558" t="s">
        <v>1012</v>
      </c>
    </row>
    <row hidden="1" r="559" s="1" spans="1:12">
      <c r="A559" s="4" t="n">
        <v>43125</v>
      </c>
      <c r="B559" t="s">
        <v>244</v>
      </c>
      <c r="C559" t="s">
        <v>45</v>
      </c>
      <c r="D559" t="s">
        <v>245</v>
      </c>
      <c r="E559" t="s">
        <v>15</v>
      </c>
      <c r="F559" t="s">
        <v>52</v>
      </c>
      <c r="G559" t="s">
        <v>1208</v>
      </c>
      <c r="H559">
        <f>HYPERLINK("https://www.jouwictvacature.nl/solliciteren?job=medior-back-end-developer-bij-i3dnet", "Link")</f>
        <v/>
      </c>
      <c r="I559" t="s">
        <v>17</v>
      </c>
      <c r="J559" t="s">
        <v>18</v>
      </c>
      <c r="K559" t="s">
        <v>247</v>
      </c>
      <c r="L559" t="s">
        <v>1209</v>
      </c>
    </row>
    <row hidden="1" r="560" s="1" spans="1:12">
      <c r="A560" s="4" t="n">
        <v>43125</v>
      </c>
      <c r="B560" t="s">
        <v>174</v>
      </c>
      <c r="C560" t="s">
        <v>93</v>
      </c>
      <c r="D560" t="s">
        <v>22</v>
      </c>
      <c r="E560" t="s">
        <v>15</v>
      </c>
      <c r="F560" t="s">
        <v>28</v>
      </c>
      <c r="G560" t="s">
        <v>194</v>
      </c>
      <c r="H560">
        <f>HYPERLINK("https://www.jouwictvacature.nl/solliciteren?job=senior-java-full-stack-developer--ios-phonegap-objective-c-swift-bij-d-4", "Link")</f>
        <v/>
      </c>
      <c r="I560" t="s">
        <v>17</v>
      </c>
      <c r="J560" t="s">
        <v>18</v>
      </c>
      <c r="K560" t="s">
        <v>176</v>
      </c>
      <c r="L560" t="s">
        <v>195</v>
      </c>
    </row>
    <row hidden="1" r="561" s="1" spans="1:12">
      <c r="A561" s="4" t="n">
        <v>43125</v>
      </c>
      <c r="B561" t="s">
        <v>268</v>
      </c>
      <c r="C561" t="s">
        <v>269</v>
      </c>
      <c r="D561" t="s">
        <v>14</v>
      </c>
      <c r="E561" t="s">
        <v>15</v>
      </c>
      <c r="F561" t="s">
        <v>28</v>
      </c>
      <c r="G561" t="s">
        <v>270</v>
      </c>
      <c r="H561">
        <f>HYPERLINK("https://www.jouwictvacature.nl/solliciteren?job=senior-java-software-developer--servoy-java-sql-saas", "Link")</f>
        <v/>
      </c>
      <c r="I561" t="s">
        <v>17</v>
      </c>
      <c r="J561" t="s">
        <v>18</v>
      </c>
      <c r="K561" t="s">
        <v>271</v>
      </c>
      <c r="L561" t="s">
        <v>272</v>
      </c>
    </row>
    <row hidden="1" r="562" s="1" spans="1:12">
      <c r="A562" s="4" t="n">
        <v>43125</v>
      </c>
      <c r="B562" t="s">
        <v>693</v>
      </c>
      <c r="C562" t="s">
        <v>694</v>
      </c>
      <c r="D562" t="s">
        <v>22</v>
      </c>
      <c r="E562" t="s">
        <v>15</v>
      </c>
      <c r="F562" t="s">
        <v>16</v>
      </c>
      <c r="G562" t="s">
        <v>693</v>
      </c>
      <c r="H562">
        <f>HYPERLINK("https://www.jouwictvacature.nl/solliciteren?job=junior-mendix-developer-bij-de-goudse", "Link")</f>
        <v/>
      </c>
      <c r="I562" t="s">
        <v>17</v>
      </c>
      <c r="J562" t="s">
        <v>18</v>
      </c>
      <c r="K562" t="s">
        <v>994</v>
      </c>
      <c r="L562" t="s">
        <v>1210</v>
      </c>
    </row>
    <row hidden="1" r="563" s="1" spans="1:12">
      <c r="A563" s="4" t="n">
        <v>43125</v>
      </c>
      <c r="B563" t="s">
        <v>164</v>
      </c>
      <c r="C563" t="s">
        <v>80</v>
      </c>
      <c r="D563" t="s">
        <v>22</v>
      </c>
      <c r="E563" t="s">
        <v>15</v>
      </c>
      <c r="F563" t="s">
        <v>52</v>
      </c>
      <c r="G563" t="s">
        <v>168</v>
      </c>
      <c r="H563">
        <f>HYPERLINK("https://www.jouwictvacature.nl/solliciteren?job=medior-java-developer-met-interesse-in-iot-bij-dexels-in-amsterdam", "Link")</f>
        <v/>
      </c>
      <c r="I563" t="s">
        <v>17</v>
      </c>
      <c r="J563" t="s">
        <v>18</v>
      </c>
      <c r="K563" t="s">
        <v>169</v>
      </c>
      <c r="L563" t="s">
        <v>170</v>
      </c>
    </row>
    <row hidden="1" r="564" s="1" spans="1:12">
      <c r="A564" s="4" t="n">
        <v>43125</v>
      </c>
      <c r="B564" t="s">
        <v>71</v>
      </c>
      <c r="C564" t="s">
        <v>38</v>
      </c>
      <c r="D564" t="s">
        <v>22</v>
      </c>
      <c r="E564" t="s">
        <v>15</v>
      </c>
      <c r="F564" t="s">
        <v>28</v>
      </c>
      <c r="G564" t="s">
        <v>1211</v>
      </c>
      <c r="H564">
        <f>HYPERLINK("https://www.jouwictvacature.nl/solliciteren?job=senior-agile-test-specialist-bij-bartosz-bij-bartosz-amsterdam-2", "Link")</f>
        <v/>
      </c>
      <c r="I564" t="s">
        <v>17</v>
      </c>
      <c r="J564" t="s">
        <v>18</v>
      </c>
      <c r="K564" t="s">
        <v>91</v>
      </c>
      <c r="L564" t="s">
        <v>1212</v>
      </c>
    </row>
    <row hidden="1" r="565" s="1" spans="1:12">
      <c r="A565" s="4" t="n">
        <v>43125</v>
      </c>
      <c r="B565" t="s">
        <v>174</v>
      </c>
      <c r="C565" t="s">
        <v>80</v>
      </c>
      <c r="D565" t="s">
        <v>22</v>
      </c>
      <c r="E565" t="s">
        <v>15</v>
      </c>
      <c r="F565" t="s">
        <v>28</v>
      </c>
      <c r="G565" t="s">
        <v>1213</v>
      </c>
      <c r="H565">
        <f>HYPERLINK("https://www.jouwictvacature.nl/solliciteren?job=senior-java-developer-bij-dpa-geos-bij-dpa-geos-2", "Link")</f>
        <v/>
      </c>
      <c r="I565" t="s">
        <v>17</v>
      </c>
      <c r="J565" t="s">
        <v>18</v>
      </c>
      <c r="K565" t="s">
        <v>176</v>
      </c>
      <c r="L565" t="s">
        <v>1214</v>
      </c>
    </row>
    <row hidden="1" r="566" s="1" spans="1:12">
      <c r="A566" s="4" t="n">
        <v>43125</v>
      </c>
      <c r="B566" t="s">
        <v>71</v>
      </c>
      <c r="C566" t="s">
        <v>93</v>
      </c>
      <c r="D566" t="s">
        <v>22</v>
      </c>
      <c r="E566" t="s">
        <v>15</v>
      </c>
      <c r="F566" t="s">
        <v>28</v>
      </c>
      <c r="G566" t="s">
        <v>1215</v>
      </c>
      <c r="H566">
        <f>HYPERLINK("https://www.jouwictvacature.nl/solliciteren?job=senior-testanalist-bij-bartosz-bij-bartosz-eindhoven-2", "Link")</f>
        <v/>
      </c>
      <c r="I566" t="s">
        <v>17</v>
      </c>
      <c r="J566" t="s">
        <v>18</v>
      </c>
      <c r="K566" t="s">
        <v>95</v>
      </c>
      <c r="L566" t="s">
        <v>1216</v>
      </c>
    </row>
    <row hidden="1" r="567" s="1" spans="1:12">
      <c r="A567" s="4" t="n">
        <v>43125</v>
      </c>
      <c r="B567" t="s">
        <v>1217</v>
      </c>
      <c r="C567" t="s">
        <v>137</v>
      </c>
      <c r="D567" t="s">
        <v>22</v>
      </c>
      <c r="E567" t="s">
        <v>15</v>
      </c>
      <c r="F567" t="s">
        <v>16</v>
      </c>
      <c r="G567" t="s">
        <v>1217</v>
      </c>
      <c r="H567">
        <f>HYPERLINK("https://www.jouwictvacature.nl/solliciteren?job=junior-java-en-webdeveloper", "Link")</f>
        <v/>
      </c>
      <c r="I567" t="s">
        <v>17</v>
      </c>
      <c r="J567" t="s">
        <v>18</v>
      </c>
      <c r="K567" t="s">
        <v>1218</v>
      </c>
      <c r="L567" t="s">
        <v>1219</v>
      </c>
    </row>
    <row hidden="1" r="568" s="1" spans="1:12">
      <c r="A568" s="4" t="n">
        <v>43125</v>
      </c>
      <c r="B568" t="s">
        <v>450</v>
      </c>
      <c r="C568" t="s">
        <v>451</v>
      </c>
      <c r="D568" t="s">
        <v>245</v>
      </c>
      <c r="E568" t="s">
        <v>15</v>
      </c>
      <c r="F568" t="s">
        <v>34</v>
      </c>
      <c r="G568" t="s">
        <v>1220</v>
      </c>
      <c r="H568">
        <f>HYPERLINK("https://www.jouwictvacature.nl/solliciteren?job=junior-javaweb-developer-bij-sofico-bij-sofico", "Link")</f>
        <v/>
      </c>
      <c r="I568" t="s">
        <v>17</v>
      </c>
      <c r="J568" t="s">
        <v>18</v>
      </c>
      <c r="K568" t="s">
        <v>453</v>
      </c>
      <c r="L568" t="s">
        <v>1221</v>
      </c>
    </row>
    <row hidden="1" r="569" s="1" spans="1:12">
      <c r="A569" s="4" t="n">
        <v>43125</v>
      </c>
      <c r="B569" t="s">
        <v>174</v>
      </c>
      <c r="C569" t="s">
        <v>62</v>
      </c>
      <c r="D569" t="s">
        <v>22</v>
      </c>
      <c r="E569" t="s">
        <v>15</v>
      </c>
      <c r="F569" t="s">
        <v>52</v>
      </c>
      <c r="G569" t="s">
        <v>689</v>
      </c>
      <c r="H569">
        <f>HYPERLINK("https://www.jouwictvacature.nl/solliciteren?job=medior-java-developer--spring-grails-wicket-javascript-scala-bij-dpa-g-2", "Link")</f>
        <v/>
      </c>
      <c r="I569" t="s">
        <v>17</v>
      </c>
      <c r="J569" t="s">
        <v>18</v>
      </c>
      <c r="K569" t="s">
        <v>176</v>
      </c>
      <c r="L569" t="s">
        <v>690</v>
      </c>
    </row>
    <row hidden="1" r="570" s="1" spans="1:12">
      <c r="A570" s="4" t="n">
        <v>43125</v>
      </c>
      <c r="B570" t="s">
        <v>526</v>
      </c>
      <c r="C570" t="s">
        <v>38</v>
      </c>
      <c r="D570" t="s">
        <v>245</v>
      </c>
      <c r="E570" t="s">
        <v>15</v>
      </c>
      <c r="F570" t="s">
        <v>16</v>
      </c>
      <c r="G570" t="s">
        <v>526</v>
      </c>
      <c r="H570">
        <f>HYPERLINK("https://www.jouwictvacature.nl/solliciteren?job=medior-net-developer--c-aspnet-mvc-angularjs-2", "Link")</f>
        <v/>
      </c>
      <c r="I570" t="s">
        <v>17</v>
      </c>
      <c r="J570" t="s">
        <v>18</v>
      </c>
      <c r="K570" t="s">
        <v>527</v>
      </c>
      <c r="L570" t="s">
        <v>1222</v>
      </c>
    </row>
    <row hidden="1" r="571" s="1" spans="1:12">
      <c r="A571" s="4" t="n">
        <v>43125</v>
      </c>
      <c r="B571" t="s">
        <v>618</v>
      </c>
      <c r="C571" t="s">
        <v>619</v>
      </c>
      <c r="D571" t="s">
        <v>22</v>
      </c>
      <c r="E571" t="s">
        <v>15</v>
      </c>
      <c r="F571" t="s">
        <v>34</v>
      </c>
      <c r="G571" t="s">
        <v>1198</v>
      </c>
      <c r="H571">
        <f>HYPERLINK("https://www.jouwictvacature.nl/solliciteren?job=juniormediorsenior-fullstack-developer", "Link")</f>
        <v/>
      </c>
      <c r="I571" t="s">
        <v>17</v>
      </c>
      <c r="J571" t="s">
        <v>18</v>
      </c>
      <c r="K571" t="s">
        <v>621</v>
      </c>
      <c r="L571" t="s">
        <v>1199</v>
      </c>
    </row>
    <row hidden="1" r="572" s="1" spans="1:12">
      <c r="A572" s="4" t="n">
        <v>43125</v>
      </c>
      <c r="B572" t="s">
        <v>526</v>
      </c>
      <c r="C572" t="s">
        <v>38</v>
      </c>
      <c r="D572" t="s">
        <v>245</v>
      </c>
      <c r="E572" t="s">
        <v>15</v>
      </c>
      <c r="F572" t="s">
        <v>16</v>
      </c>
      <c r="G572" t="s">
        <v>526</v>
      </c>
      <c r="H572">
        <f>HYPERLINK("https://www.jouwictvacature.nl/solliciteren?job=medior-net-developer--c-aspnet-mvc-angularjs-3", "Link")</f>
        <v/>
      </c>
      <c r="I572" t="s">
        <v>17</v>
      </c>
      <c r="J572" t="s">
        <v>18</v>
      </c>
      <c r="K572" t="s">
        <v>527</v>
      </c>
      <c r="L572" t="s">
        <v>528</v>
      </c>
    </row>
    <row hidden="1" r="573" s="1" spans="1:12">
      <c r="A573" s="4" t="n">
        <v>43125</v>
      </c>
      <c r="B573" t="s">
        <v>1223</v>
      </c>
      <c r="C573" t="s">
        <v>1224</v>
      </c>
      <c r="D573" t="s">
        <v>245</v>
      </c>
      <c r="E573" t="s">
        <v>15</v>
      </c>
      <c r="F573" t="s">
        <v>16</v>
      </c>
      <c r="G573" t="s">
        <v>1223</v>
      </c>
      <c r="H573">
        <f>HYPERLINK("https://www.jouwictvacature.nl/solliciteren?job=software-engineer-c-", "Link")</f>
        <v/>
      </c>
      <c r="I573" t="s">
        <v>17</v>
      </c>
      <c r="J573" t="s">
        <v>18</v>
      </c>
      <c r="K573" t="s">
        <v>1225</v>
      </c>
      <c r="L573" t="s">
        <v>1226</v>
      </c>
    </row>
    <row hidden="1" r="574" s="1" spans="1:12">
      <c r="A574" s="4" t="n">
        <v>43125</v>
      </c>
      <c r="B574" t="s">
        <v>109</v>
      </c>
      <c r="C574" t="s">
        <v>80</v>
      </c>
      <c r="D574" t="s">
        <v>22</v>
      </c>
      <c r="E574" t="s">
        <v>15</v>
      </c>
      <c r="F574" t="s">
        <v>16</v>
      </c>
      <c r="G574" t="s">
        <v>109</v>
      </c>
      <c r="H574">
        <f>HYPERLINK("https://www.jouwictvacature.nl/solliciteren?job=software-architect--net-azure-togaf-archimate", "Link")</f>
        <v/>
      </c>
      <c r="I574" t="s">
        <v>17</v>
      </c>
      <c r="J574" t="s">
        <v>18</v>
      </c>
      <c r="K574" t="s">
        <v>1227</v>
      </c>
      <c r="L574" t="s">
        <v>1228</v>
      </c>
    </row>
    <row hidden="1" r="575" s="1" spans="1:12">
      <c r="A575" s="4" t="n">
        <v>43125</v>
      </c>
      <c r="B575" t="s">
        <v>437</v>
      </c>
      <c r="C575" t="s">
        <v>438</v>
      </c>
      <c r="D575" t="s">
        <v>245</v>
      </c>
      <c r="E575" t="s">
        <v>15</v>
      </c>
      <c r="F575" t="s">
        <v>16</v>
      </c>
      <c r="G575" t="s">
        <v>1229</v>
      </c>
      <c r="H575">
        <f>HYPERLINK("https://www.jouwictvacature.nl/solliciteren?job=architect-bij-rensa", "Link")</f>
        <v/>
      </c>
      <c r="I575" t="s">
        <v>17</v>
      </c>
      <c r="J575" t="s">
        <v>18</v>
      </c>
      <c r="K575" t="s">
        <v>440</v>
      </c>
      <c r="L575" t="s">
        <v>1230</v>
      </c>
    </row>
    <row hidden="1" r="576" s="1" spans="1:12">
      <c r="A576" s="4" t="n">
        <v>43125</v>
      </c>
      <c r="B576" t="s">
        <v>455</v>
      </c>
      <c r="C576" t="s">
        <v>309</v>
      </c>
      <c r="D576" t="s">
        <v>245</v>
      </c>
      <c r="E576" t="s">
        <v>15</v>
      </c>
      <c r="F576" t="s">
        <v>16</v>
      </c>
      <c r="G576" t="s">
        <v>1231</v>
      </c>
      <c r="H576">
        <f>HYPERLINK("https://www.jouwictvacature.nl/solliciteren?job=senior-net-engineer-bij-sogeti-2", "Link")</f>
        <v/>
      </c>
      <c r="I576" t="s">
        <v>17</v>
      </c>
      <c r="J576" t="s">
        <v>18</v>
      </c>
      <c r="K576" t="s">
        <v>466</v>
      </c>
      <c r="L576" t="s">
        <v>1232</v>
      </c>
    </row>
    <row hidden="1" r="577" s="1" spans="1:12">
      <c r="A577" s="4" t="n">
        <v>43125</v>
      </c>
      <c r="B577" t="s">
        <v>455</v>
      </c>
      <c r="C577" t="s">
        <v>309</v>
      </c>
      <c r="D577" t="s">
        <v>245</v>
      </c>
      <c r="E577" t="s">
        <v>15</v>
      </c>
      <c r="F577" t="s">
        <v>16</v>
      </c>
      <c r="G577" t="s">
        <v>468</v>
      </c>
      <c r="H577">
        <f>HYPERLINK("https://www.jouwictvacature.nl/solliciteren?job=net-lead-engineer-bij-sogeti-6", "Link")</f>
        <v/>
      </c>
      <c r="I577" t="s">
        <v>17</v>
      </c>
      <c r="J577" t="s">
        <v>18</v>
      </c>
      <c r="K577" t="s">
        <v>466</v>
      </c>
      <c r="L577" t="s">
        <v>469</v>
      </c>
    </row>
    <row hidden="1" r="578" s="1" spans="1:12">
      <c r="A578" s="4" t="n">
        <v>43125</v>
      </c>
      <c r="B578" t="s">
        <v>618</v>
      </c>
      <c r="C578" t="s">
        <v>619</v>
      </c>
      <c r="D578" t="s">
        <v>22</v>
      </c>
      <c r="E578" t="s">
        <v>15</v>
      </c>
      <c r="F578" t="s">
        <v>34</v>
      </c>
      <c r="G578" t="s">
        <v>1233</v>
      </c>
      <c r="H578">
        <f>HYPERLINK("https://www.jouwictvacature.nl/solliciteren?job=medior-developer-net-applicaties-voor-mooie-klanten-als-de-efteling--n", "Link")</f>
        <v/>
      </c>
      <c r="I578" t="s">
        <v>17</v>
      </c>
      <c r="J578" t="s">
        <v>18</v>
      </c>
      <c r="K578" t="s">
        <v>621</v>
      </c>
      <c r="L578" t="s">
        <v>1234</v>
      </c>
    </row>
    <row hidden="1" r="579" s="1" spans="1:12">
      <c r="A579" s="4" t="n">
        <v>43125</v>
      </c>
      <c r="B579" t="s">
        <v>1235</v>
      </c>
      <c r="C579" t="s">
        <v>1236</v>
      </c>
      <c r="D579" t="s">
        <v>245</v>
      </c>
      <c r="E579" t="s">
        <v>15</v>
      </c>
      <c r="F579" t="s">
        <v>16</v>
      </c>
      <c r="G579" t="s">
        <v>1237</v>
      </c>
      <c r="H579">
        <f>HYPERLINK("https://www.jouwictvacature.nl/solliciteren?job=ervaren-net-developer-bij-rovict--net-core-c-angularjs-entity", "Link")</f>
        <v/>
      </c>
      <c r="I579" t="s">
        <v>17</v>
      </c>
      <c r="J579" t="s">
        <v>18</v>
      </c>
      <c r="K579" t="s">
        <v>1238</v>
      </c>
      <c r="L579" t="s">
        <v>1239</v>
      </c>
    </row>
    <row hidden="1" r="580" s="1" spans="1:12">
      <c r="A580" s="4" t="n">
        <v>43125</v>
      </c>
      <c r="B580" t="s">
        <v>317</v>
      </c>
      <c r="C580" t="s">
        <v>45</v>
      </c>
      <c r="D580" t="s">
        <v>14</v>
      </c>
      <c r="E580" t="s">
        <v>15</v>
      </c>
      <c r="F580" t="s">
        <v>52</v>
      </c>
      <c r="G580" t="s">
        <v>653</v>
      </c>
      <c r="H580">
        <f>HYPERLINK("https://www.jouwictvacature.nl/solliciteren?job=medior-javascript-developer-bij-maximumnl", "Link")</f>
        <v/>
      </c>
      <c r="I580" t="s">
        <v>17</v>
      </c>
      <c r="J580" t="s">
        <v>18</v>
      </c>
      <c r="K580" t="s">
        <v>319</v>
      </c>
      <c r="L580" t="s">
        <v>654</v>
      </c>
    </row>
    <row hidden="1" r="581" s="1" spans="1:12">
      <c r="A581" s="4" t="n">
        <v>43125</v>
      </c>
      <c r="B581" t="s">
        <v>493</v>
      </c>
      <c r="C581" t="s">
        <v>72</v>
      </c>
      <c r="D581" t="s">
        <v>245</v>
      </c>
      <c r="E581" t="s">
        <v>15</v>
      </c>
      <c r="F581" t="s">
        <v>16</v>
      </c>
      <c r="G581" t="s">
        <v>1138</v>
      </c>
      <c r="H581">
        <f>HYPERLINK("https://www.jouwictvacature.nl/solliciteren?job=full-stack-developer-bij-sumedia", "Link")</f>
        <v/>
      </c>
      <c r="I581" t="s">
        <v>17</v>
      </c>
      <c r="J581" t="s">
        <v>18</v>
      </c>
      <c r="K581" t="s">
        <v>495</v>
      </c>
      <c r="L581" t="s">
        <v>1139</v>
      </c>
    </row>
    <row hidden="1" r="582" s="1" spans="1:12">
      <c r="A582" s="4" t="n">
        <v>43125</v>
      </c>
      <c r="B582" t="s">
        <v>585</v>
      </c>
      <c r="C582" t="s">
        <v>586</v>
      </c>
      <c r="D582" t="s">
        <v>245</v>
      </c>
      <c r="E582" t="s">
        <v>15</v>
      </c>
      <c r="F582" t="s">
        <v>28</v>
      </c>
      <c r="G582" t="s">
        <v>587</v>
      </c>
      <c r="H582">
        <f>HYPERLINK("https://www.jouwictvacature.nl/solliciteren?job=gedreven-php-webontwikkelaar-medior-", "Link")</f>
        <v/>
      </c>
      <c r="I582" t="s">
        <v>17</v>
      </c>
      <c r="J582" t="s">
        <v>18</v>
      </c>
      <c r="K582" t="s">
        <v>588</v>
      </c>
      <c r="L582" t="s">
        <v>589</v>
      </c>
    </row>
    <row hidden="1" r="583" s="1" spans="1:12">
      <c r="A583" s="4" t="n">
        <v>43125</v>
      </c>
      <c r="B583" t="s">
        <v>478</v>
      </c>
      <c r="C583" t="s">
        <v>479</v>
      </c>
      <c r="D583" t="s">
        <v>245</v>
      </c>
      <c r="E583" t="s">
        <v>15</v>
      </c>
      <c r="F583" t="s">
        <v>16</v>
      </c>
      <c r="G583" t="s">
        <v>483</v>
      </c>
      <c r="H583">
        <f>HYPERLINK("https://www.jouwictvacature.nl/solliciteren?job=gedreven-senior-zend-developer-met-ervaring-gezocht-bij-square", "Link")</f>
        <v/>
      </c>
      <c r="I583" t="s">
        <v>17</v>
      </c>
      <c r="J583" t="s">
        <v>18</v>
      </c>
      <c r="K583" t="s">
        <v>484</v>
      </c>
      <c r="L583" t="s">
        <v>485</v>
      </c>
    </row>
    <row hidden="1" r="584" s="1" spans="1:12">
      <c r="A584" s="4" t="n">
        <v>43125</v>
      </c>
      <c r="B584" t="s">
        <v>813</v>
      </c>
      <c r="C584" t="s">
        <v>309</v>
      </c>
      <c r="D584" t="s">
        <v>245</v>
      </c>
      <c r="E584" t="s">
        <v>15</v>
      </c>
      <c r="F584" t="s">
        <v>52</v>
      </c>
      <c r="G584" t="s">
        <v>1240</v>
      </c>
      <c r="H584">
        <f>HYPERLINK("https://www.jouwictvacature.nl/solliciteren?job=senior-full-stack-ontwikkelaar-bij-telserv-", "Link")</f>
        <v/>
      </c>
      <c r="I584" t="s">
        <v>17</v>
      </c>
      <c r="J584" t="s">
        <v>18</v>
      </c>
      <c r="K584" t="s">
        <v>815</v>
      </c>
      <c r="L584" t="s">
        <v>1241</v>
      </c>
    </row>
    <row hidden="1" r="585" s="1" spans="1:12">
      <c r="A585" s="4" t="n">
        <v>43125</v>
      </c>
      <c r="B585" t="s">
        <v>1020</v>
      </c>
      <c r="C585" t="s">
        <v>1021</v>
      </c>
      <c r="D585" t="s">
        <v>245</v>
      </c>
      <c r="E585" t="s">
        <v>15</v>
      </c>
      <c r="F585" t="s">
        <v>16</v>
      </c>
      <c r="G585" t="s">
        <v>1242</v>
      </c>
      <c r="H585">
        <f>HYPERLINK("https://www.jouwictvacature.nl/solliciteren?job=web-developer-medior-bij-the-fuel-company", "Link")</f>
        <v/>
      </c>
      <c r="I585" t="s">
        <v>17</v>
      </c>
      <c r="J585" t="s">
        <v>18</v>
      </c>
      <c r="K585" t="s">
        <v>1023</v>
      </c>
      <c r="L585" t="s">
        <v>1243</v>
      </c>
    </row>
    <row r="586" spans="1:12">
      <c r="A586" s="4" t="n">
        <v>43125</v>
      </c>
      <c r="B586" t="s">
        <v>889</v>
      </c>
      <c r="C586" t="s">
        <v>80</v>
      </c>
      <c r="D586" t="s">
        <v>14</v>
      </c>
      <c r="E586" t="s">
        <v>51</v>
      </c>
      <c r="F586" t="s">
        <v>28</v>
      </c>
      <c r="G586" t="s">
        <v>1008</v>
      </c>
      <c r="H586">
        <f>HYPERLINK("https://www.jouwictvacature.nl/solliciteren?job=senior-php-developer-bij-lightspeed", "Link")</f>
        <v/>
      </c>
      <c r="I586" t="s">
        <v>17</v>
      </c>
      <c r="J586" t="s">
        <v>18</v>
      </c>
      <c r="K586" t="s">
        <v>891</v>
      </c>
      <c r="L586" t="s">
        <v>1009</v>
      </c>
    </row>
    <row hidden="1" r="587" s="1" spans="1:12">
      <c r="A587" s="4" t="n">
        <v>43125</v>
      </c>
      <c r="B587" t="s">
        <v>278</v>
      </c>
      <c r="C587" t="s">
        <v>279</v>
      </c>
      <c r="D587" t="s">
        <v>14</v>
      </c>
      <c r="E587" t="s">
        <v>15</v>
      </c>
      <c r="F587" t="s">
        <v>16</v>
      </c>
      <c r="G587" t="s">
        <v>650</v>
      </c>
      <c r="H587">
        <f>HYPERLINK("https://www.jouwictvacature.nl/solliciteren?job=php--magento-developer-bij-topwerkgever", "Link")</f>
        <v/>
      </c>
      <c r="I587" t="s">
        <v>17</v>
      </c>
      <c r="J587" t="s">
        <v>18</v>
      </c>
      <c r="K587" t="s">
        <v>651</v>
      </c>
      <c r="L587" t="s">
        <v>652</v>
      </c>
    </row>
    <row hidden="1" r="588" s="1" spans="1:12">
      <c r="A588" s="4" t="n">
        <v>43125</v>
      </c>
      <c r="B588" t="s">
        <v>568</v>
      </c>
      <c r="C588" t="s">
        <v>157</v>
      </c>
      <c r="D588" t="s">
        <v>245</v>
      </c>
      <c r="E588" t="s">
        <v>15</v>
      </c>
      <c r="F588" t="s">
        <v>16</v>
      </c>
      <c r="G588" t="s">
        <v>949</v>
      </c>
      <c r="H588">
        <f>HYPERLINK("https://www.jouwictvacature.nl/solliciteren?job=ervaren-medior-wordpress-developer-gezocht-bij-web-whales", "Link")</f>
        <v/>
      </c>
      <c r="I588" t="s">
        <v>17</v>
      </c>
      <c r="J588" t="s">
        <v>18</v>
      </c>
      <c r="K588" t="s">
        <v>570</v>
      </c>
      <c r="L588" t="s">
        <v>950</v>
      </c>
    </row>
    <row hidden="1" r="589" s="1" spans="1:12">
      <c r="A589" s="4" t="n">
        <v>43125</v>
      </c>
      <c r="B589" t="s">
        <v>730</v>
      </c>
      <c r="C589" t="s">
        <v>62</v>
      </c>
      <c r="D589" t="s">
        <v>22</v>
      </c>
      <c r="E589" t="s">
        <v>15</v>
      </c>
      <c r="F589" t="s">
        <v>16</v>
      </c>
      <c r="G589" t="s">
        <v>731</v>
      </c>
      <c r="H589">
        <f>HYPERLINK("https://www.jouwictvacature.nl/solliciteren?job=php-developer-bij-cl-web", "Link")</f>
        <v/>
      </c>
      <c r="I589" t="s">
        <v>17</v>
      </c>
      <c r="J589" t="s">
        <v>18</v>
      </c>
      <c r="K589" t="s">
        <v>732</v>
      </c>
      <c r="L589" t="s">
        <v>733</v>
      </c>
    </row>
    <row hidden="1" r="590" s="1" spans="1:12">
      <c r="A590" s="4" t="n">
        <v>43125</v>
      </c>
      <c r="B590" t="s">
        <v>317</v>
      </c>
      <c r="C590" t="s">
        <v>45</v>
      </c>
      <c r="D590" t="s">
        <v>14</v>
      </c>
      <c r="E590" t="s">
        <v>15</v>
      </c>
      <c r="F590" t="s">
        <v>34</v>
      </c>
      <c r="G590" t="s">
        <v>1244</v>
      </c>
      <c r="H590">
        <f>HYPERLINK("https://www.jouwictvacature.nl/solliciteren?job=junior-front-end-developer-bij-maximumnl", "Link")</f>
        <v/>
      </c>
      <c r="I590" t="s">
        <v>17</v>
      </c>
      <c r="J590" t="s">
        <v>18</v>
      </c>
      <c r="K590" t="s">
        <v>319</v>
      </c>
      <c r="L590" t="s">
        <v>1245</v>
      </c>
    </row>
    <row hidden="1" r="591" s="1" spans="1:12">
      <c r="A591" s="4" t="n">
        <v>43125</v>
      </c>
      <c r="B591" t="s">
        <v>49</v>
      </c>
      <c r="C591" t="s">
        <v>50</v>
      </c>
      <c r="D591" t="s">
        <v>22</v>
      </c>
      <c r="E591" t="s">
        <v>15</v>
      </c>
      <c r="F591" t="s">
        <v>52</v>
      </c>
      <c r="G591" t="s">
        <v>1246</v>
      </c>
      <c r="H591">
        <f>HYPERLINK("https://www.jouwictvacature.nl/solliciteren?job=junior-webdeveloper-", "Link")</f>
        <v/>
      </c>
      <c r="I591" t="s">
        <v>17</v>
      </c>
      <c r="J591" t="s">
        <v>18</v>
      </c>
      <c r="K591" t="s">
        <v>1247</v>
      </c>
      <c r="L591" t="s">
        <v>1248</v>
      </c>
    </row>
    <row hidden="1" r="592" s="1" spans="1:12">
      <c r="A592" s="4" t="n">
        <v>43125</v>
      </c>
      <c r="B592" t="s">
        <v>49</v>
      </c>
      <c r="C592" t="s">
        <v>50</v>
      </c>
      <c r="D592" t="s">
        <v>22</v>
      </c>
      <c r="E592" t="s">
        <v>15</v>
      </c>
      <c r="F592" t="s">
        <v>52</v>
      </c>
      <c r="G592" t="s">
        <v>318</v>
      </c>
      <c r="H592">
        <f>HYPERLINK("https://www.jouwictvacature.nl/solliciteren?job=junior-front-end-developer-angular-2-", "Link")</f>
        <v/>
      </c>
      <c r="I592" t="s">
        <v>17</v>
      </c>
      <c r="J592" t="s">
        <v>18</v>
      </c>
      <c r="K592" t="s">
        <v>1249</v>
      </c>
      <c r="L592" t="s">
        <v>1250</v>
      </c>
    </row>
    <row hidden="1" r="593" s="1" spans="1:12">
      <c r="A593" s="4" t="n">
        <v>43125</v>
      </c>
      <c r="B593" t="s">
        <v>1251</v>
      </c>
      <c r="C593" t="s">
        <v>1252</v>
      </c>
      <c r="D593" t="s">
        <v>14</v>
      </c>
      <c r="E593" t="s">
        <v>15</v>
      </c>
      <c r="F593" t="s">
        <v>16</v>
      </c>
      <c r="G593" t="s">
        <v>1251</v>
      </c>
      <c r="H593">
        <f>HYPERLINK("https://www.jouwictvacature.nl/solliciteren?job=technical-team-lead-bij-indi-in-leek-2", "Link")</f>
        <v/>
      </c>
      <c r="I593" t="s">
        <v>17</v>
      </c>
      <c r="J593" t="s">
        <v>18</v>
      </c>
      <c r="K593" t="s">
        <v>1253</v>
      </c>
      <c r="L593" t="s">
        <v>1254</v>
      </c>
    </row>
    <row hidden="1" r="594" s="1" spans="1:12">
      <c r="A594" s="4" t="n">
        <v>43125</v>
      </c>
      <c r="B594" t="s">
        <v>753</v>
      </c>
      <c r="C594" t="s">
        <v>309</v>
      </c>
      <c r="D594" t="s">
        <v>22</v>
      </c>
      <c r="E594" t="s">
        <v>15</v>
      </c>
      <c r="F594" t="s">
        <v>16</v>
      </c>
      <c r="G594" t="s">
        <v>753</v>
      </c>
      <c r="H594">
        <f>HYPERLINK("https://www.jouwictvacature.nl/solliciteren?job=full-stack-developer-bij-creabea", "Link")</f>
        <v/>
      </c>
      <c r="I594" t="s">
        <v>17</v>
      </c>
      <c r="J594" t="s">
        <v>18</v>
      </c>
      <c r="K594" t="s">
        <v>1255</v>
      </c>
      <c r="L594" t="s">
        <v>1256</v>
      </c>
    </row>
    <row hidden="1" r="595" s="1" spans="1:12">
      <c r="A595" s="4" t="n">
        <v>43125</v>
      </c>
      <c r="B595" t="s">
        <v>358</v>
      </c>
      <c r="C595" t="s">
        <v>359</v>
      </c>
      <c r="D595" t="s">
        <v>14</v>
      </c>
      <c r="E595" t="s">
        <v>15</v>
      </c>
      <c r="F595" t="s">
        <v>52</v>
      </c>
      <c r="G595" t="s">
        <v>665</v>
      </c>
      <c r="H595">
        <f>HYPERLINK("https://www.jouwictvacature.nl/solliciteren?job=medior-front-end-developer-bij-nobears", "Link")</f>
        <v/>
      </c>
      <c r="I595" t="s">
        <v>17</v>
      </c>
      <c r="J595" t="s">
        <v>18</v>
      </c>
      <c r="K595" t="s">
        <v>361</v>
      </c>
      <c r="L595" t="s">
        <v>1257</v>
      </c>
    </row>
    <row r="596" spans="1:12">
      <c r="A596" s="4" t="n">
        <v>43125</v>
      </c>
      <c r="B596" t="s">
        <v>668</v>
      </c>
      <c r="C596" t="s">
        <v>522</v>
      </c>
      <c r="D596" t="s">
        <v>22</v>
      </c>
      <c r="E596" t="s">
        <v>51</v>
      </c>
      <c r="F596" t="s">
        <v>16</v>
      </c>
      <c r="G596" t="s">
        <v>1258</v>
      </c>
      <c r="H596">
        <f>HYPERLINK("https://www.jouwictvacature.nl/solliciteren?job=front-end-developer-at-bizzdesign", "Link")</f>
        <v/>
      </c>
      <c r="I596" t="s">
        <v>17</v>
      </c>
      <c r="J596" t="s">
        <v>18</v>
      </c>
      <c r="K596" t="s">
        <v>1259</v>
      </c>
      <c r="L596" t="s">
        <v>1260</v>
      </c>
    </row>
    <row hidden="1" r="597" s="1" spans="1:12">
      <c r="A597" s="4" t="n">
        <v>43125</v>
      </c>
      <c r="B597" t="s">
        <v>287</v>
      </c>
      <c r="C597" t="s">
        <v>279</v>
      </c>
      <c r="D597" t="s">
        <v>14</v>
      </c>
      <c r="E597" t="s">
        <v>15</v>
      </c>
      <c r="F597" t="s">
        <v>16</v>
      </c>
      <c r="G597" t="s">
        <v>288</v>
      </c>
      <c r="H597">
        <f>HYPERLINK("https://www.jouwictvacature.nl/solliciteren?job=word-jij-onze-nieuwe-medior-front-end-development-hero-bij-jaagers--ri", "Link")</f>
        <v/>
      </c>
      <c r="I597" t="s">
        <v>17</v>
      </c>
      <c r="J597" t="s">
        <v>18</v>
      </c>
      <c r="K597" t="s">
        <v>289</v>
      </c>
      <c r="L597" t="s">
        <v>290</v>
      </c>
    </row>
    <row hidden="1" r="598" s="1" spans="1:12">
      <c r="A598" s="4" t="n">
        <v>43125</v>
      </c>
      <c r="B598" t="s">
        <v>1261</v>
      </c>
      <c r="C598" t="s">
        <v>1262</v>
      </c>
      <c r="D598" t="s">
        <v>22</v>
      </c>
      <c r="E598" t="s">
        <v>15</v>
      </c>
      <c r="F598" t="s">
        <v>16</v>
      </c>
      <c r="G598" t="s">
        <v>1263</v>
      </c>
      <c r="H598">
        <f>HYPERLINK("https://www.jouwictvacature.nl/solliciteren?job=medior-front-end-developer-bij-blue-carpet", "Link")</f>
        <v/>
      </c>
      <c r="I598" t="s">
        <v>17</v>
      </c>
      <c r="J598" t="s">
        <v>18</v>
      </c>
      <c r="K598" t="s">
        <v>1264</v>
      </c>
      <c r="L598" t="s">
        <v>1265</v>
      </c>
    </row>
    <row hidden="1" r="599" s="1" spans="1:12">
      <c r="A599" s="4" t="n">
        <v>43125</v>
      </c>
      <c r="B599" t="s">
        <v>374</v>
      </c>
      <c r="C599" t="s">
        <v>93</v>
      </c>
      <c r="D599" t="s">
        <v>14</v>
      </c>
      <c r="E599" t="s">
        <v>15</v>
      </c>
      <c r="F599" t="s">
        <v>52</v>
      </c>
      <c r="G599" t="s">
        <v>1266</v>
      </c>
      <c r="H599">
        <f>HYPERLINK("https://www.jouwictvacature.nl/solliciteren?job=medior-front-end-developer-met-reactjs-ervaring-bij-oo-shopping", "Link")</f>
        <v/>
      </c>
      <c r="I599" t="s">
        <v>17</v>
      </c>
      <c r="J599" t="s">
        <v>18</v>
      </c>
      <c r="K599" t="s">
        <v>376</v>
      </c>
      <c r="L599" t="s">
        <v>1267</v>
      </c>
    </row>
    <row hidden="1" r="600" s="1" spans="1:12">
      <c r="A600" s="4" t="n">
        <v>43125</v>
      </c>
      <c r="B600" t="s">
        <v>71</v>
      </c>
      <c r="C600" t="s">
        <v>93</v>
      </c>
      <c r="D600" t="s">
        <v>22</v>
      </c>
      <c r="E600" t="s">
        <v>15</v>
      </c>
      <c r="F600" t="s">
        <v>16</v>
      </c>
      <c r="G600" t="s">
        <v>1268</v>
      </c>
      <c r="H600">
        <f>HYPERLINK("https://www.jouwictvacature.nl/solliciteren?job=traineeship-agile-test-engineer-bij-bartosz-bij-bartosz-rotterdam", "Link")</f>
        <v/>
      </c>
      <c r="I600" t="s">
        <v>17</v>
      </c>
      <c r="J600" t="s">
        <v>18</v>
      </c>
      <c r="K600" t="s">
        <v>82</v>
      </c>
      <c r="L600" t="s">
        <v>1269</v>
      </c>
    </row>
    <row hidden="1" r="601" s="1" spans="1:12">
      <c r="A601" s="4" t="n">
        <v>43125</v>
      </c>
      <c r="B601" t="s">
        <v>378</v>
      </c>
      <c r="C601" t="s">
        <v>309</v>
      </c>
      <c r="D601" t="s">
        <v>14</v>
      </c>
      <c r="E601" t="s">
        <v>15</v>
      </c>
      <c r="F601" t="s">
        <v>16</v>
      </c>
      <c r="G601" t="s">
        <v>758</v>
      </c>
      <c r="H601">
        <f>HYPERLINK("https://www.jouwictvacature.nl/solliciteren?job=stageopdracht-applicatie-ontwikkeling-bij-opensatisfaction", "Link")</f>
        <v/>
      </c>
      <c r="I601" t="s">
        <v>17</v>
      </c>
      <c r="J601" t="s">
        <v>18</v>
      </c>
      <c r="K601" t="s">
        <v>759</v>
      </c>
      <c r="L601" t="s">
        <v>760</v>
      </c>
    </row>
    <row hidden="1" r="602" s="1" spans="1:12">
      <c r="A602" s="4" t="n">
        <v>43125</v>
      </c>
      <c r="B602" t="s">
        <v>1270</v>
      </c>
      <c r="C602" t="s">
        <v>1271</v>
      </c>
      <c r="D602" t="s">
        <v>22</v>
      </c>
      <c r="E602" t="s">
        <v>15</v>
      </c>
      <c r="F602" t="s">
        <v>16</v>
      </c>
      <c r="G602" t="s">
        <v>1270</v>
      </c>
      <c r="H602">
        <f>HYPERLINK("https://www.jouwictvacature.nl/solliciteren?job=doelgerichte-senior-software-engineer-bij-geotax-in-geldermalsen", "Link")</f>
        <v/>
      </c>
      <c r="I602" t="s">
        <v>17</v>
      </c>
      <c r="J602" t="s">
        <v>18</v>
      </c>
      <c r="K602" t="s">
        <v>1272</v>
      </c>
      <c r="L602" t="s">
        <v>1273</v>
      </c>
    </row>
    <row hidden="1" r="603" s="1" spans="1:12">
      <c r="A603" s="4" t="n">
        <v>43125</v>
      </c>
      <c r="B603" t="s">
        <v>174</v>
      </c>
      <c r="C603" t="s">
        <v>93</v>
      </c>
      <c r="D603" t="s">
        <v>22</v>
      </c>
      <c r="E603" t="s">
        <v>15</v>
      </c>
      <c r="F603" t="s">
        <v>52</v>
      </c>
      <c r="G603" t="s">
        <v>1274</v>
      </c>
      <c r="H603">
        <f>HYPERLINK("https://www.jouwictvacature.nl/solliciteren?job=medior-java-full-stack-developer-bij-dpa-geos-bij-dpa-3", "Link")</f>
        <v/>
      </c>
      <c r="I603" t="s">
        <v>17</v>
      </c>
      <c r="J603" t="s">
        <v>18</v>
      </c>
      <c r="K603" t="s">
        <v>176</v>
      </c>
      <c r="L603" t="s">
        <v>1275</v>
      </c>
    </row>
    <row hidden="1" r="604" s="1" spans="1:12">
      <c r="A604" s="4" t="n">
        <v>43125</v>
      </c>
      <c r="B604" t="s">
        <v>843</v>
      </c>
      <c r="C604" t="s">
        <v>45</v>
      </c>
      <c r="D604" t="s">
        <v>245</v>
      </c>
      <c r="E604" t="s">
        <v>15</v>
      </c>
      <c r="F604" t="s">
        <v>34</v>
      </c>
      <c r="G604" t="s">
        <v>1276</v>
      </c>
      <c r="H604">
        <f>HYPERLINK("https://www.jouwictvacature.nl/solliciteren?job=java-ontwikkelaar-bij-rivium", "Link")</f>
        <v/>
      </c>
      <c r="I604" t="s">
        <v>17</v>
      </c>
      <c r="J604" t="s">
        <v>18</v>
      </c>
      <c r="K604" t="s">
        <v>845</v>
      </c>
      <c r="L604" t="s">
        <v>1277</v>
      </c>
    </row>
    <row hidden="1" r="605" s="1" spans="1:12">
      <c r="A605" s="4" t="n">
        <v>43125</v>
      </c>
      <c r="B605" t="s">
        <v>1251</v>
      </c>
      <c r="C605" t="s">
        <v>1252</v>
      </c>
      <c r="D605" t="s">
        <v>14</v>
      </c>
      <c r="E605" t="s">
        <v>15</v>
      </c>
      <c r="F605" t="s">
        <v>16</v>
      </c>
      <c r="G605" t="s">
        <v>1251</v>
      </c>
      <c r="H605">
        <f>HYPERLINK("https://www.jouwictvacature.nl/solliciteren?job=senior-back-end-developer-bij-indi-in-leek-2", "Link")</f>
        <v/>
      </c>
      <c r="I605" t="s">
        <v>17</v>
      </c>
      <c r="J605" t="s">
        <v>18</v>
      </c>
      <c r="K605" t="s">
        <v>1278</v>
      </c>
      <c r="L605" t="s">
        <v>1279</v>
      </c>
    </row>
    <row hidden="1" r="606" s="1" spans="1:12">
      <c r="A606" s="4" t="n">
        <v>43125</v>
      </c>
      <c r="B606" t="s">
        <v>237</v>
      </c>
      <c r="C606" t="s">
        <v>93</v>
      </c>
      <c r="D606" t="s">
        <v>22</v>
      </c>
      <c r="E606" t="s">
        <v>15</v>
      </c>
      <c r="F606" t="s">
        <v>34</v>
      </c>
      <c r="G606" t="s">
        <v>1280</v>
      </c>
      <c r="H606">
        <f>HYPERLINK("https://www.jouwictvacature.nl/solliciteren?job=junior-java-developer-bij-hybrit-2", "Link")</f>
        <v/>
      </c>
      <c r="I606" t="s">
        <v>17</v>
      </c>
      <c r="J606" t="s">
        <v>18</v>
      </c>
      <c r="K606" t="s">
        <v>242</v>
      </c>
      <c r="L606" t="s">
        <v>1281</v>
      </c>
    </row>
    <row hidden="1" r="607" s="1" spans="1:12">
      <c r="A607" s="4" t="n">
        <v>43125</v>
      </c>
      <c r="B607" t="s">
        <v>71</v>
      </c>
      <c r="C607" t="s">
        <v>80</v>
      </c>
      <c r="D607" t="s">
        <v>22</v>
      </c>
      <c r="E607" t="s">
        <v>15</v>
      </c>
      <c r="F607" t="s">
        <v>34</v>
      </c>
      <c r="G607" t="s">
        <v>97</v>
      </c>
      <c r="H607">
        <f>HYPERLINK("https://www.jouwictvacature.nl/solliciteren?job=junior-testanalist-bij-bartosz", "Link")</f>
        <v/>
      </c>
      <c r="I607" t="s">
        <v>17</v>
      </c>
      <c r="J607" t="s">
        <v>18</v>
      </c>
      <c r="K607" t="s">
        <v>95</v>
      </c>
      <c r="L607" t="s">
        <v>103</v>
      </c>
    </row>
    <row hidden="1" r="608" s="1" spans="1:12">
      <c r="A608" s="4" t="n">
        <v>43125</v>
      </c>
      <c r="B608" t="s">
        <v>164</v>
      </c>
      <c r="C608" t="s">
        <v>80</v>
      </c>
      <c r="D608" t="s">
        <v>22</v>
      </c>
      <c r="E608" t="s">
        <v>15</v>
      </c>
      <c r="F608" t="s">
        <v>34</v>
      </c>
      <c r="G608" t="s">
        <v>1282</v>
      </c>
      <c r="H608">
        <f>HYPERLINK("https://www.jouwictvacature.nl/solliciteren?job=junior-mobile-developer-met-interesse-in-iot-bij-dexels-in-amsterdam", "Link")</f>
        <v/>
      </c>
      <c r="I608" t="s">
        <v>17</v>
      </c>
      <c r="J608" t="s">
        <v>18</v>
      </c>
      <c r="K608" t="s">
        <v>1283</v>
      </c>
      <c r="L608" t="s">
        <v>1284</v>
      </c>
    </row>
    <row r="609" spans="1:12">
      <c r="A609" s="4" t="n">
        <v>43125</v>
      </c>
      <c r="B609" t="s">
        <v>532</v>
      </c>
      <c r="C609" t="s">
        <v>80</v>
      </c>
      <c r="D609" t="s">
        <v>245</v>
      </c>
      <c r="E609" t="s">
        <v>51</v>
      </c>
      <c r="F609" t="s">
        <v>52</v>
      </c>
      <c r="G609" t="s">
        <v>1285</v>
      </c>
      <c r="H609">
        <f>HYPERLINK("https://www.jouwictvacature.nl/solliciteren?job=medior-machine-learning-developer-at-trifork-in-amsterdam-bij-trifork", "Link")</f>
        <v/>
      </c>
      <c r="I609" t="s">
        <v>17</v>
      </c>
      <c r="J609" t="s">
        <v>18</v>
      </c>
      <c r="K609" t="s">
        <v>542</v>
      </c>
      <c r="L609" t="s">
        <v>1286</v>
      </c>
    </row>
    <row hidden="1" r="610" s="1" spans="1:12">
      <c r="A610" s="4" t="n">
        <v>43125</v>
      </c>
      <c r="B610" t="s">
        <v>308</v>
      </c>
      <c r="C610" t="s">
        <v>309</v>
      </c>
      <c r="D610" t="s">
        <v>14</v>
      </c>
      <c r="E610" t="s">
        <v>15</v>
      </c>
      <c r="F610" t="s">
        <v>34</v>
      </c>
      <c r="G610" t="s">
        <v>1287</v>
      </c>
      <c r="H610">
        <f>HYPERLINK("https://www.jouwictvacature.nl/solliciteren?job=juniormediorsenior-cnet-engineer-bij-marketgraph", "Link")</f>
        <v/>
      </c>
      <c r="I610" t="s">
        <v>17</v>
      </c>
      <c r="J610" t="s">
        <v>18</v>
      </c>
      <c r="K610" t="s">
        <v>311</v>
      </c>
      <c r="L610" t="s">
        <v>1288</v>
      </c>
    </row>
    <row r="611" spans="1:12">
      <c r="A611" s="4" t="n">
        <v>43125</v>
      </c>
      <c r="B611" t="s">
        <v>708</v>
      </c>
      <c r="C611" t="s">
        <v>305</v>
      </c>
      <c r="D611" t="s">
        <v>22</v>
      </c>
      <c r="E611" t="s">
        <v>51</v>
      </c>
      <c r="F611" t="s">
        <v>16</v>
      </c>
      <c r="G611" t="s">
        <v>708</v>
      </c>
      <c r="H611">
        <f>HYPERLINK("https://www.jouwictvacature.nl/solliciteren?job=net-developer-piccotello", "Link")</f>
        <v/>
      </c>
      <c r="I611" t="s">
        <v>17</v>
      </c>
      <c r="J611" t="s">
        <v>18</v>
      </c>
      <c r="K611" t="s">
        <v>1289</v>
      </c>
      <c r="L611" t="s">
        <v>1290</v>
      </c>
    </row>
    <row hidden="1" r="612" s="1" spans="1:12">
      <c r="A612" s="4" t="n">
        <v>43125</v>
      </c>
      <c r="B612" t="s">
        <v>574</v>
      </c>
      <c r="C612" t="s">
        <v>575</v>
      </c>
      <c r="D612" t="s">
        <v>245</v>
      </c>
      <c r="E612" t="s">
        <v>15</v>
      </c>
      <c r="F612" t="s">
        <v>16</v>
      </c>
      <c r="G612" t="s">
        <v>574</v>
      </c>
      <c r="H612">
        <f>HYPERLINK("https://www.jouwictvacature.nl/solliciteren?job=medior-xamarin-ontwikkelaar-bij-webbeat--2", "Link")</f>
        <v/>
      </c>
      <c r="I612" t="s">
        <v>17</v>
      </c>
      <c r="J612" t="s">
        <v>18</v>
      </c>
      <c r="K612" t="s">
        <v>910</v>
      </c>
      <c r="L612" t="s">
        <v>911</v>
      </c>
    </row>
    <row hidden="1" r="613" s="1" spans="1:12">
      <c r="A613" s="4" t="n">
        <v>43125</v>
      </c>
      <c r="B613" t="s">
        <v>856</v>
      </c>
      <c r="C613" t="s">
        <v>50</v>
      </c>
      <c r="D613" t="s">
        <v>22</v>
      </c>
      <c r="E613" t="s">
        <v>15</v>
      </c>
      <c r="F613" t="s">
        <v>16</v>
      </c>
      <c r="G613" t="s">
        <v>856</v>
      </c>
      <c r="H613">
        <f>HYPERLINK("https://www.jouwictvacature.nl/solliciteren?job=docent-business-it-en-management-bij-avans-hogeschool", "Link")</f>
        <v/>
      </c>
      <c r="I613" t="s">
        <v>17</v>
      </c>
      <c r="J613" t="s">
        <v>18</v>
      </c>
      <c r="K613" t="s">
        <v>1291</v>
      </c>
      <c r="L613" t="s">
        <v>1292</v>
      </c>
    </row>
    <row hidden="1" r="614" s="1" spans="1:12">
      <c r="A614" s="4" t="n">
        <v>43125</v>
      </c>
      <c r="B614" t="s">
        <v>1068</v>
      </c>
      <c r="C614" t="s">
        <v>197</v>
      </c>
      <c r="D614" t="s">
        <v>245</v>
      </c>
      <c r="E614" t="s">
        <v>15</v>
      </c>
      <c r="F614" t="s">
        <v>28</v>
      </c>
      <c r="G614" t="s">
        <v>1069</v>
      </c>
      <c r="H614">
        <f>HYPERLINK("https://www.jouwictvacature.nl/solliciteren?job=senior-net-developer-bij-searchdog-inhouse", "Link")</f>
        <v/>
      </c>
      <c r="I614" t="s">
        <v>17</v>
      </c>
      <c r="J614" t="s">
        <v>18</v>
      </c>
      <c r="K614" t="s">
        <v>1070</v>
      </c>
      <c r="L614" t="s">
        <v>1071</v>
      </c>
    </row>
    <row hidden="1" r="615" s="1" spans="1:12">
      <c r="A615" s="4" t="n">
        <v>43125</v>
      </c>
      <c r="B615" t="s">
        <v>455</v>
      </c>
      <c r="C615" t="s">
        <v>309</v>
      </c>
      <c r="D615" t="s">
        <v>245</v>
      </c>
      <c r="E615" t="s">
        <v>15</v>
      </c>
      <c r="F615" t="s">
        <v>52</v>
      </c>
      <c r="G615" t="s">
        <v>854</v>
      </c>
      <c r="H615">
        <f>HYPERLINK("https://www.jouwictvacature.nl/solliciteren?job=net-engineer-bij-sogeti-3", "Link")</f>
        <v/>
      </c>
      <c r="I615" t="s">
        <v>17</v>
      </c>
      <c r="J615" t="s">
        <v>18</v>
      </c>
      <c r="K615" t="s">
        <v>466</v>
      </c>
      <c r="L615" t="s">
        <v>855</v>
      </c>
    </row>
    <row hidden="1" r="616" s="1" spans="1:12">
      <c r="A616" s="4" t="n">
        <v>43125</v>
      </c>
      <c r="B616" t="s">
        <v>1235</v>
      </c>
      <c r="C616" t="s">
        <v>1236</v>
      </c>
      <c r="D616" t="s">
        <v>245</v>
      </c>
      <c r="E616" t="s">
        <v>15</v>
      </c>
      <c r="F616" t="s">
        <v>16</v>
      </c>
      <c r="G616" t="s">
        <v>1293</v>
      </c>
      <c r="H616">
        <f>HYPERLINK("https://www.jouwictvacature.nl/solliciteren?job=net-developer-4", "Link")</f>
        <v/>
      </c>
      <c r="I616" t="s">
        <v>17</v>
      </c>
      <c r="J616" t="s">
        <v>18</v>
      </c>
      <c r="K616" t="s">
        <v>1238</v>
      </c>
      <c r="L616" t="s">
        <v>1294</v>
      </c>
    </row>
    <row hidden="1" r="617" s="1" spans="1:12">
      <c r="A617" s="4" t="n">
        <v>43125</v>
      </c>
      <c r="B617" t="s">
        <v>405</v>
      </c>
      <c r="C617" t="s">
        <v>412</v>
      </c>
      <c r="D617" t="s">
        <v>14</v>
      </c>
      <c r="E617" t="s">
        <v>15</v>
      </c>
      <c r="F617" t="s">
        <v>16</v>
      </c>
      <c r="G617" t="s">
        <v>405</v>
      </c>
      <c r="H617">
        <f>HYPERLINK("https://www.jouwictvacature.nl/solliciteren?job=medior-microsoft-dynamics-ax-developer-bij-prodware-2", "Link")</f>
        <v/>
      </c>
      <c r="I617" t="s">
        <v>17</v>
      </c>
      <c r="J617" t="s">
        <v>18</v>
      </c>
      <c r="K617" t="s">
        <v>415</v>
      </c>
      <c r="L617" t="s">
        <v>416</v>
      </c>
    </row>
    <row hidden="1" r="618" s="1" spans="1:12">
      <c r="A618" s="4" t="n">
        <v>43125</v>
      </c>
      <c r="B618" t="s">
        <v>332</v>
      </c>
      <c r="C618" t="s">
        <v>333</v>
      </c>
      <c r="D618" t="s">
        <v>14</v>
      </c>
      <c r="E618" t="s">
        <v>15</v>
      </c>
      <c r="F618" t="s">
        <v>52</v>
      </c>
      <c r="G618" t="s">
        <v>337</v>
      </c>
      <c r="H618">
        <f>HYPERLINK("https://www.jouwictvacature.nl/solliciteren?job=medior-net-ontwikkelaar-5", "Link")</f>
        <v/>
      </c>
      <c r="I618" t="s">
        <v>17</v>
      </c>
      <c r="J618" t="s">
        <v>18</v>
      </c>
      <c r="K618" t="s">
        <v>335</v>
      </c>
      <c r="L618" t="s">
        <v>338</v>
      </c>
    </row>
    <row hidden="1" r="619" s="1" spans="1:12">
      <c r="A619" s="4" t="n">
        <v>43125</v>
      </c>
      <c r="B619" t="s">
        <v>313</v>
      </c>
      <c r="C619" t="s">
        <v>62</v>
      </c>
      <c r="D619" t="s">
        <v>14</v>
      </c>
      <c r="E619" t="s">
        <v>15</v>
      </c>
      <c r="F619" t="s">
        <v>16</v>
      </c>
      <c r="G619" t="s">
        <v>1295</v>
      </c>
      <c r="H619">
        <f>HYPERLINK("https://www.jouwictvacature.nl/solliciteren?job=senior-net-developer--werken-voor-klanten-als-kpn-ns-sanoma-media-en-e", "Link")</f>
        <v/>
      </c>
      <c r="I619" t="s">
        <v>17</v>
      </c>
      <c r="J619" t="s">
        <v>18</v>
      </c>
      <c r="K619" t="s">
        <v>315</v>
      </c>
      <c r="L619" t="s">
        <v>1296</v>
      </c>
    </row>
    <row hidden="1" r="620" s="1" spans="1:12">
      <c r="A620" s="4" t="n">
        <v>43125</v>
      </c>
      <c r="B620" t="s">
        <v>244</v>
      </c>
      <c r="C620" t="s">
        <v>45</v>
      </c>
      <c r="D620" t="s">
        <v>14</v>
      </c>
      <c r="E620" t="s">
        <v>15</v>
      </c>
      <c r="F620" t="s">
        <v>52</v>
      </c>
      <c r="G620" t="s">
        <v>1083</v>
      </c>
      <c r="H620">
        <f>HYPERLINK("https://www.jouwictvacature.nl/solliciteren?job=medior-php-back-end-developer-bij-i3dnet", "Link")</f>
        <v/>
      </c>
      <c r="I620" t="s">
        <v>17</v>
      </c>
      <c r="J620" t="s">
        <v>18</v>
      </c>
      <c r="K620" t="s">
        <v>247</v>
      </c>
      <c r="L620" t="s">
        <v>1084</v>
      </c>
    </row>
    <row hidden="1" r="621" s="1" spans="1:12">
      <c r="A621" s="4" t="n">
        <v>43125</v>
      </c>
      <c r="B621" t="s">
        <v>568</v>
      </c>
      <c r="C621" t="s">
        <v>157</v>
      </c>
      <c r="D621" t="s">
        <v>245</v>
      </c>
      <c r="E621" t="s">
        <v>15</v>
      </c>
      <c r="F621" t="s">
        <v>16</v>
      </c>
      <c r="G621" t="s">
        <v>949</v>
      </c>
      <c r="H621">
        <f>HYPERLINK("https://www.jouwictvacature.nl/solliciteren?job=ervaren-medior-wordpress-developer-gezocht-bij-web-whales", "Link")</f>
        <v/>
      </c>
      <c r="I621" t="s">
        <v>17</v>
      </c>
      <c r="J621" t="s">
        <v>18</v>
      </c>
      <c r="K621" t="s">
        <v>570</v>
      </c>
      <c r="L621" t="s">
        <v>950</v>
      </c>
    </row>
    <row hidden="1" r="622" s="1" spans="1:12">
      <c r="A622" s="4" t="n">
        <v>43125</v>
      </c>
      <c r="B622" t="s">
        <v>881</v>
      </c>
      <c r="C622" t="s">
        <v>428</v>
      </c>
      <c r="D622" t="s">
        <v>22</v>
      </c>
      <c r="E622" t="s">
        <v>15</v>
      </c>
      <c r="F622" t="s">
        <v>28</v>
      </c>
      <c r="G622" t="s">
        <v>882</v>
      </c>
      <c r="H622">
        <f>HYPERLINK("https://www.jouwictvacature.nl/solliciteren?job=senior-laravel-php-developer-bij-cepo", "Link")</f>
        <v/>
      </c>
      <c r="I622" t="s">
        <v>17</v>
      </c>
      <c r="J622" t="s">
        <v>18</v>
      </c>
      <c r="K622" t="s">
        <v>883</v>
      </c>
      <c r="L622" t="s">
        <v>884</v>
      </c>
    </row>
    <row hidden="1" r="623" s="1" spans="1:12">
      <c r="A623" s="4" t="n">
        <v>43125</v>
      </c>
      <c r="B623" t="s">
        <v>342</v>
      </c>
      <c r="C623" t="s">
        <v>309</v>
      </c>
      <c r="D623" t="s">
        <v>14</v>
      </c>
      <c r="E623" t="s">
        <v>15</v>
      </c>
      <c r="F623" t="s">
        <v>28</v>
      </c>
      <c r="G623" t="s">
        <v>1297</v>
      </c>
      <c r="H623">
        <f>HYPERLINK("https://www.jouwictvacature.nl/solliciteren?job=medior-php-developer-bij-muntz", "Link")</f>
        <v/>
      </c>
      <c r="I623" t="s">
        <v>17</v>
      </c>
      <c r="J623" t="s">
        <v>18</v>
      </c>
      <c r="K623" t="s">
        <v>344</v>
      </c>
      <c r="L623" t="s">
        <v>1298</v>
      </c>
    </row>
    <row r="624" spans="1:12">
      <c r="A624" s="4" t="n">
        <v>43125</v>
      </c>
      <c r="B624" t="s">
        <v>889</v>
      </c>
      <c r="C624" t="s">
        <v>80</v>
      </c>
      <c r="D624" t="s">
        <v>14</v>
      </c>
      <c r="E624" t="s">
        <v>51</v>
      </c>
      <c r="F624" t="s">
        <v>52</v>
      </c>
      <c r="G624" t="s">
        <v>1299</v>
      </c>
      <c r="H624">
        <f>HYPERLINK("https://www.jouwictvacature.nl/solliciteren?job=mediorphp-developer-bij-lightspeed-bij-lightspeed", "Link")</f>
        <v/>
      </c>
      <c r="I624" t="s">
        <v>17</v>
      </c>
      <c r="J624" t="s">
        <v>18</v>
      </c>
      <c r="K624" t="s">
        <v>891</v>
      </c>
      <c r="L624" t="s">
        <v>1300</v>
      </c>
    </row>
    <row hidden="1" r="625" s="1" spans="1:12">
      <c r="A625" s="4" t="n">
        <v>43125</v>
      </c>
      <c r="B625" t="s">
        <v>881</v>
      </c>
      <c r="C625" t="s">
        <v>428</v>
      </c>
      <c r="D625" t="s">
        <v>22</v>
      </c>
      <c r="E625" t="s">
        <v>15</v>
      </c>
      <c r="F625" t="s">
        <v>52</v>
      </c>
      <c r="G625" t="s">
        <v>1018</v>
      </c>
      <c r="H625">
        <f>HYPERLINK("https://www.jouwictvacature.nl/solliciteren?job=medior-laravel-php-developer-bij-cepo", "Link")</f>
        <v/>
      </c>
      <c r="I625" t="s">
        <v>17</v>
      </c>
      <c r="J625" t="s">
        <v>18</v>
      </c>
      <c r="K625" t="s">
        <v>883</v>
      </c>
      <c r="L625" t="s">
        <v>1019</v>
      </c>
    </row>
    <row hidden="1" r="626" s="1" spans="1:12">
      <c r="A626" s="4" t="n">
        <v>43125</v>
      </c>
      <c r="B626" t="s">
        <v>365</v>
      </c>
      <c r="C626" t="s">
        <v>366</v>
      </c>
      <c r="D626" t="s">
        <v>14</v>
      </c>
      <c r="E626" t="s">
        <v>15</v>
      </c>
      <c r="F626" t="s">
        <v>16</v>
      </c>
      <c r="G626" t="s">
        <v>365</v>
      </c>
      <c r="H626">
        <f>HYPERLINK("https://www.jouwictvacature.nl/solliciteren?job=junior-programmeur-bij-not-on-paper", "Link")</f>
        <v/>
      </c>
      <c r="I626" t="s">
        <v>17</v>
      </c>
      <c r="J626" t="s">
        <v>18</v>
      </c>
      <c r="K626" t="s">
        <v>367</v>
      </c>
      <c r="L626" t="s">
        <v>630</v>
      </c>
    </row>
    <row hidden="1" r="627" s="1" spans="1:12">
      <c r="A627" s="4" t="n">
        <v>43125</v>
      </c>
      <c r="B627" t="s">
        <v>293</v>
      </c>
      <c r="C627" t="s">
        <v>294</v>
      </c>
      <c r="D627" t="s">
        <v>14</v>
      </c>
      <c r="E627" t="s">
        <v>15</v>
      </c>
      <c r="F627" t="s">
        <v>16</v>
      </c>
      <c r="G627" t="s">
        <v>1301</v>
      </c>
      <c r="H627">
        <f>HYPERLINK("https://www.jouwictvacature.nl/solliciteren?job=php-developer--fulltime", "Link")</f>
        <v/>
      </c>
      <c r="I627" t="s">
        <v>17</v>
      </c>
      <c r="J627" t="s">
        <v>18</v>
      </c>
      <c r="K627" t="s">
        <v>1302</v>
      </c>
      <c r="L627" t="s">
        <v>1303</v>
      </c>
    </row>
    <row hidden="1" r="628" s="1" spans="1:12">
      <c r="A628" s="4" t="n">
        <v>43125</v>
      </c>
      <c r="B628" t="s">
        <v>478</v>
      </c>
      <c r="C628" t="s">
        <v>479</v>
      </c>
      <c r="D628" t="s">
        <v>245</v>
      </c>
      <c r="E628" t="s">
        <v>15</v>
      </c>
      <c r="F628" t="s">
        <v>16</v>
      </c>
      <c r="G628" t="s">
        <v>1304</v>
      </c>
      <c r="H628">
        <f>HYPERLINK("https://www.jouwictvacature.nl/solliciteren?job=gedreven-senior-php-developer-met-ervaring-gezocht-bij-square", "Link")</f>
        <v/>
      </c>
      <c r="I628" t="s">
        <v>17</v>
      </c>
      <c r="J628" t="s">
        <v>18</v>
      </c>
      <c r="K628" t="s">
        <v>484</v>
      </c>
      <c r="L628" t="s">
        <v>1305</v>
      </c>
    </row>
    <row hidden="1" r="629" s="1" spans="1:12">
      <c r="A629" s="4" t="n">
        <v>43125</v>
      </c>
      <c r="B629" t="s">
        <v>358</v>
      </c>
      <c r="C629" t="s">
        <v>359</v>
      </c>
      <c r="D629" t="s">
        <v>14</v>
      </c>
      <c r="E629" t="s">
        <v>15</v>
      </c>
      <c r="F629" t="s">
        <v>34</v>
      </c>
      <c r="G629" t="s">
        <v>646</v>
      </c>
      <c r="H629">
        <f>HYPERLINK("https://www.jouwictvacature.nl/solliciteren?job=junior-php-developer--3", "Link")</f>
        <v/>
      </c>
      <c r="I629" t="s">
        <v>17</v>
      </c>
      <c r="J629" t="s">
        <v>18</v>
      </c>
      <c r="K629" t="s">
        <v>361</v>
      </c>
      <c r="L629" t="s">
        <v>647</v>
      </c>
    </row>
    <row hidden="1" r="630" s="1" spans="1:12">
      <c r="A630" s="4" t="n">
        <v>43125</v>
      </c>
      <c r="B630" t="s">
        <v>304</v>
      </c>
      <c r="C630" t="s">
        <v>305</v>
      </c>
      <c r="D630" t="s">
        <v>14</v>
      </c>
      <c r="E630" t="s">
        <v>15</v>
      </c>
      <c r="F630" t="s">
        <v>16</v>
      </c>
      <c r="G630" t="s">
        <v>304</v>
      </c>
      <c r="H630">
        <f>HYPERLINK("https://www.jouwictvacature.nl/solliciteren?job=nodereact-developer-bij-ksyos", "Link")</f>
        <v/>
      </c>
      <c r="I630" t="s">
        <v>17</v>
      </c>
      <c r="J630" t="s">
        <v>18</v>
      </c>
      <c r="K630" t="s">
        <v>306</v>
      </c>
      <c r="L630" t="s">
        <v>1306</v>
      </c>
    </row>
    <row hidden="1" r="631" s="1" spans="1:12">
      <c r="A631" s="4" t="n">
        <v>43125</v>
      </c>
      <c r="B631" t="s">
        <v>227</v>
      </c>
      <c r="C631" t="s">
        <v>76</v>
      </c>
      <c r="D631" t="s">
        <v>22</v>
      </c>
      <c r="E631" t="s">
        <v>15</v>
      </c>
      <c r="F631" t="s">
        <v>16</v>
      </c>
      <c r="G631" t="s">
        <v>227</v>
      </c>
      <c r="H631">
        <f>HYPERLINK("https://www.jouwictvacature.nl/solliciteren?job=front-end-developer-bij-hulst-computer-systems", "Link")</f>
        <v/>
      </c>
      <c r="I631" t="s">
        <v>17</v>
      </c>
      <c r="J631" t="s">
        <v>18</v>
      </c>
      <c r="K631" t="s">
        <v>1307</v>
      </c>
      <c r="L631" t="s">
        <v>1308</v>
      </c>
    </row>
    <row hidden="1" r="632" s="1" spans="1:12">
      <c r="A632" s="4" t="n">
        <v>43125</v>
      </c>
      <c r="B632" t="s">
        <v>1261</v>
      </c>
      <c r="C632" t="s">
        <v>1262</v>
      </c>
      <c r="D632" t="s">
        <v>22</v>
      </c>
      <c r="E632" t="s">
        <v>15</v>
      </c>
      <c r="F632" t="s">
        <v>52</v>
      </c>
      <c r="G632" t="s">
        <v>1309</v>
      </c>
      <c r="H632">
        <f>HYPERLINK("https://www.jouwictvacature.nl/solliciteren?job=medior-front-end-developer-bij-blue-carpet-bij-blue-carpet", "Link")</f>
        <v/>
      </c>
      <c r="I632" t="s">
        <v>17</v>
      </c>
      <c r="J632" t="s">
        <v>18</v>
      </c>
      <c r="K632" t="s">
        <v>1264</v>
      </c>
      <c r="L632" t="s">
        <v>1310</v>
      </c>
    </row>
    <row hidden="1" r="633" s="1" spans="1:12">
      <c r="A633" s="4" t="n">
        <v>43125</v>
      </c>
      <c r="B633" t="s">
        <v>668</v>
      </c>
      <c r="C633" t="s">
        <v>522</v>
      </c>
      <c r="D633" t="s">
        <v>22</v>
      </c>
      <c r="E633" t="s">
        <v>15</v>
      </c>
      <c r="F633" t="s">
        <v>16</v>
      </c>
      <c r="G633" t="s">
        <v>668</v>
      </c>
      <c r="H633">
        <f>HYPERLINK("https://www.jouwictvacature.nl/solliciteren?job=medior-front-end-developer-bij-bizzdesign-bij-bizzdesign", "Link")</f>
        <v/>
      </c>
      <c r="I633" t="s">
        <v>17</v>
      </c>
      <c r="J633" t="s">
        <v>18</v>
      </c>
      <c r="K633" t="s">
        <v>669</v>
      </c>
      <c r="L633" t="s">
        <v>1311</v>
      </c>
    </row>
    <row hidden="1" r="634" s="1" spans="1:12">
      <c r="A634" s="4" t="n">
        <v>43125</v>
      </c>
      <c r="B634" t="s">
        <v>1036</v>
      </c>
      <c r="C634" t="s">
        <v>1037</v>
      </c>
      <c r="D634" t="s">
        <v>14</v>
      </c>
      <c r="E634" t="s">
        <v>15</v>
      </c>
      <c r="F634" t="s">
        <v>28</v>
      </c>
      <c r="G634" t="s">
        <v>1312</v>
      </c>
      <c r="H634">
        <f>HYPERLINK("https://www.jouwictvacature.nl/solliciteren?job=senior-fullstack-developer-bij-onsweb", "Link")</f>
        <v/>
      </c>
      <c r="I634" t="s">
        <v>17</v>
      </c>
      <c r="J634" t="s">
        <v>18</v>
      </c>
      <c r="K634" t="s">
        <v>1039</v>
      </c>
      <c r="L634" t="s">
        <v>1313</v>
      </c>
    </row>
    <row hidden="1" r="635" s="1" spans="1:12">
      <c r="A635" s="4" t="n">
        <v>43125</v>
      </c>
      <c r="B635" t="s">
        <v>142</v>
      </c>
      <c r="C635" t="s">
        <v>143</v>
      </c>
      <c r="D635" t="s">
        <v>22</v>
      </c>
      <c r="E635" t="s">
        <v>15</v>
      </c>
      <c r="F635" t="s">
        <v>28</v>
      </c>
      <c r="G635" t="s">
        <v>144</v>
      </c>
      <c r="H635">
        <f>HYPERLINK("https://www.jouwictvacature.nl/solliciteren?job=senior-full-stack-developer-bij-coas", "Link")</f>
        <v/>
      </c>
      <c r="I635" t="s">
        <v>17</v>
      </c>
      <c r="J635" t="s">
        <v>18</v>
      </c>
      <c r="K635" t="s">
        <v>145</v>
      </c>
      <c r="L635" t="s">
        <v>146</v>
      </c>
    </row>
    <row hidden="1" r="636" s="1" spans="1:12">
      <c r="A636" s="4" t="n">
        <v>43125</v>
      </c>
      <c r="B636" t="s">
        <v>590</v>
      </c>
      <c r="C636" t="s">
        <v>591</v>
      </c>
      <c r="D636" t="s">
        <v>245</v>
      </c>
      <c r="E636" t="s">
        <v>15</v>
      </c>
      <c r="F636" t="s">
        <v>28</v>
      </c>
      <c r="G636" t="s">
        <v>1314</v>
      </c>
      <c r="H636">
        <f>HYPERLINK("https://www.jouwictvacature.nl/solliciteren?job=senior-allround-campaign-developer-bij-yourzine", "Link")</f>
        <v/>
      </c>
      <c r="I636" t="s">
        <v>17</v>
      </c>
      <c r="J636" t="s">
        <v>18</v>
      </c>
      <c r="K636" t="s">
        <v>1315</v>
      </c>
      <c r="L636" t="s">
        <v>1316</v>
      </c>
    </row>
    <row hidden="1" r="637" s="1" spans="1:12">
      <c r="A637" s="4" t="n">
        <v>43125</v>
      </c>
      <c r="B637" t="s">
        <v>136</v>
      </c>
      <c r="C637" t="s">
        <v>137</v>
      </c>
      <c r="D637" t="s">
        <v>22</v>
      </c>
      <c r="E637" t="s">
        <v>15</v>
      </c>
      <c r="F637" t="s">
        <v>16</v>
      </c>
      <c r="G637" t="s">
        <v>138</v>
      </c>
      <c r="H637">
        <f>HYPERLINK("https://www.jouwictvacature.nl/solliciteren?job=software-developer-bij-cgi-2", "Link")</f>
        <v/>
      </c>
      <c r="I637" t="s">
        <v>17</v>
      </c>
      <c r="J637" t="s">
        <v>18</v>
      </c>
      <c r="K637" t="s">
        <v>139</v>
      </c>
      <c r="L637" t="s">
        <v>1317</v>
      </c>
    </row>
    <row hidden="1" r="638" s="1" spans="1:12">
      <c r="A638" s="4" t="n">
        <v>43125</v>
      </c>
      <c r="B638" t="s">
        <v>843</v>
      </c>
      <c r="C638" t="s">
        <v>45</v>
      </c>
      <c r="D638" t="s">
        <v>245</v>
      </c>
      <c r="E638" t="s">
        <v>15</v>
      </c>
      <c r="F638" t="s">
        <v>16</v>
      </c>
      <c r="G638" t="s">
        <v>1318</v>
      </c>
      <c r="H638">
        <f>HYPERLINK("https://www.jouwictvacature.nl/solliciteren?job=ervaren-front-end-developer-bij-rivium-business-solutions", "Link")</f>
        <v/>
      </c>
      <c r="I638" t="s">
        <v>17</v>
      </c>
      <c r="J638" t="s">
        <v>18</v>
      </c>
      <c r="K638" t="s">
        <v>1319</v>
      </c>
      <c r="L638" t="s">
        <v>1320</v>
      </c>
    </row>
    <row r="639" spans="1:12">
      <c r="A639" s="4" t="n">
        <v>43125</v>
      </c>
      <c r="B639" t="s">
        <v>664</v>
      </c>
      <c r="C639" t="s">
        <v>498</v>
      </c>
      <c r="D639" t="s">
        <v>245</v>
      </c>
      <c r="E639" t="s">
        <v>51</v>
      </c>
      <c r="F639" t="s">
        <v>34</v>
      </c>
      <c r="G639" t="s">
        <v>551</v>
      </c>
      <c r="H639">
        <f>HYPERLINK("https://www.jouwictvacature.nl/solliciteren?job=junior-front-end-developer-bij-we4sea", "Link")</f>
        <v/>
      </c>
      <c r="I639" t="s">
        <v>17</v>
      </c>
      <c r="J639" t="s">
        <v>18</v>
      </c>
      <c r="K639" t="s">
        <v>666</v>
      </c>
      <c r="L639" t="s">
        <v>1321</v>
      </c>
    </row>
    <row hidden="1" r="640" s="1" spans="1:12">
      <c r="A640" s="4" t="n">
        <v>43125</v>
      </c>
      <c r="B640" t="s">
        <v>423</v>
      </c>
      <c r="C640" t="s">
        <v>406</v>
      </c>
      <c r="D640" t="s">
        <v>245</v>
      </c>
      <c r="E640" t="s">
        <v>15</v>
      </c>
      <c r="F640" t="s">
        <v>34</v>
      </c>
      <c r="G640" t="s">
        <v>1322</v>
      </c>
      <c r="H640">
        <f>HYPERLINK("https://www.jouwictvacature.nl/solliciteren?job=junior-java-ontwikkelaar-2", "Link")</f>
        <v/>
      </c>
      <c r="I640" t="s">
        <v>17</v>
      </c>
      <c r="J640" t="s">
        <v>18</v>
      </c>
      <c r="K640" t="s">
        <v>1323</v>
      </c>
      <c r="L640" t="s">
        <v>1324</v>
      </c>
    </row>
    <row hidden="1" r="641" s="1" spans="1:12">
      <c r="A641" s="4" t="n">
        <v>43125</v>
      </c>
      <c r="B641" t="s">
        <v>115</v>
      </c>
      <c r="C641" t="s">
        <v>62</v>
      </c>
      <c r="D641" t="s">
        <v>22</v>
      </c>
      <c r="E641" t="s">
        <v>15</v>
      </c>
      <c r="F641" t="s">
        <v>52</v>
      </c>
      <c r="G641" t="s">
        <v>1325</v>
      </c>
      <c r="H641">
        <f>HYPERLINK("https://www.jouwictvacature.nl/solliciteren?job=medior-java-spring-developer-bij-bottomline", "Link")</f>
        <v/>
      </c>
      <c r="I641" t="s">
        <v>17</v>
      </c>
      <c r="J641" t="s">
        <v>18</v>
      </c>
      <c r="K641" t="s">
        <v>121</v>
      </c>
      <c r="L641" t="s">
        <v>1326</v>
      </c>
    </row>
    <row hidden="1" r="642" s="1" spans="1:12">
      <c r="A642" s="4" t="n">
        <v>43125</v>
      </c>
      <c r="B642" t="s">
        <v>564</v>
      </c>
      <c r="C642" t="s">
        <v>62</v>
      </c>
      <c r="D642" t="s">
        <v>245</v>
      </c>
      <c r="E642" t="s">
        <v>15</v>
      </c>
      <c r="F642" t="s">
        <v>28</v>
      </c>
      <c r="G642" t="s">
        <v>1327</v>
      </c>
      <c r="H642">
        <f>HYPERLINK("https://www.jouwictvacature.nl/solliciteren?job=senior-java-developer-bij-de-volant-groep", "Link")</f>
        <v/>
      </c>
      <c r="I642" t="s">
        <v>17</v>
      </c>
      <c r="J642" t="s">
        <v>18</v>
      </c>
      <c r="K642" t="s">
        <v>1328</v>
      </c>
      <c r="L642" t="s">
        <v>1329</v>
      </c>
    </row>
    <row r="643" spans="1:12">
      <c r="A643" s="4" t="n">
        <v>43125</v>
      </c>
      <c r="B643" t="s">
        <v>532</v>
      </c>
      <c r="C643" t="s">
        <v>80</v>
      </c>
      <c r="D643" t="s">
        <v>245</v>
      </c>
      <c r="E643" t="s">
        <v>51</v>
      </c>
      <c r="F643" t="s">
        <v>34</v>
      </c>
      <c r="G643" t="s">
        <v>1330</v>
      </c>
      <c r="H643">
        <f>HYPERLINK("https://www.jouwictvacature.nl/solliciteren?job=junior-java-developer-in-amsterdam--spring-nosql-databases-elasticsear", "Link")</f>
        <v/>
      </c>
      <c r="I643" t="s">
        <v>17</v>
      </c>
      <c r="J643" t="s">
        <v>18</v>
      </c>
      <c r="K643" t="s">
        <v>537</v>
      </c>
      <c r="L643" t="s">
        <v>1331</v>
      </c>
    </row>
    <row hidden="1" r="644" s="1" spans="1:12">
      <c r="A644" s="4" t="n">
        <v>43125</v>
      </c>
      <c r="B644" t="s">
        <v>237</v>
      </c>
      <c r="C644" t="s">
        <v>62</v>
      </c>
      <c r="D644" t="s">
        <v>22</v>
      </c>
      <c r="E644" t="s">
        <v>15</v>
      </c>
      <c r="F644" t="s">
        <v>16</v>
      </c>
      <c r="G644" t="s">
        <v>1332</v>
      </c>
      <c r="H644">
        <f>HYPERLINK("https://www.jouwictvacature.nl/solliciteren?job=developer-talent-gezocht", "Link")</f>
        <v/>
      </c>
      <c r="I644" t="s">
        <v>17</v>
      </c>
      <c r="J644" t="s">
        <v>18</v>
      </c>
      <c r="K644" t="s">
        <v>1333</v>
      </c>
      <c r="L644" t="s">
        <v>1334</v>
      </c>
    </row>
    <row hidden="1" r="645" s="1" spans="1:12">
      <c r="A645" s="4" t="n">
        <v>43125</v>
      </c>
      <c r="B645" t="s">
        <v>450</v>
      </c>
      <c r="C645" t="s">
        <v>451</v>
      </c>
      <c r="D645" t="s">
        <v>245</v>
      </c>
      <c r="E645" t="s">
        <v>15</v>
      </c>
      <c r="F645" t="s">
        <v>34</v>
      </c>
      <c r="G645" t="s">
        <v>1335</v>
      </c>
      <c r="H645">
        <f>HYPERLINK("https://www.jouwictvacature.nl/solliciteren?job=junior-java-developer-bij-sofico", "Link")</f>
        <v/>
      </c>
      <c r="I645" t="s">
        <v>17</v>
      </c>
      <c r="J645" t="s">
        <v>18</v>
      </c>
      <c r="K645" t="s">
        <v>777</v>
      </c>
      <c r="L645" t="s">
        <v>1336</v>
      </c>
    </row>
    <row hidden="1" r="646" s="1" spans="1:12">
      <c r="A646" s="4" t="n">
        <v>43125</v>
      </c>
      <c r="B646" t="s">
        <v>237</v>
      </c>
      <c r="C646" t="s">
        <v>93</v>
      </c>
      <c r="D646" t="s">
        <v>22</v>
      </c>
      <c r="E646" t="s">
        <v>15</v>
      </c>
      <c r="F646" t="s">
        <v>28</v>
      </c>
      <c r="G646" t="s">
        <v>1337</v>
      </c>
      <c r="H646">
        <f>HYPERLINK("https://www.jouwictvacature.nl/solliciteren?job=senior-java-developer-bij-hybrit-2", "Link")</f>
        <v/>
      </c>
      <c r="I646" t="s">
        <v>17</v>
      </c>
      <c r="J646" t="s">
        <v>18</v>
      </c>
      <c r="K646" t="s">
        <v>1189</v>
      </c>
      <c r="L646" t="s">
        <v>1338</v>
      </c>
    </row>
    <row hidden="1" r="647" s="1" spans="1:12">
      <c r="A647" s="4" t="n">
        <v>43125</v>
      </c>
      <c r="B647" t="s">
        <v>497</v>
      </c>
      <c r="C647" t="s">
        <v>498</v>
      </c>
      <c r="D647" t="s">
        <v>245</v>
      </c>
      <c r="E647" t="s">
        <v>15</v>
      </c>
      <c r="F647" t="s">
        <v>28</v>
      </c>
      <c r="G647" t="s">
        <v>504</v>
      </c>
      <c r="H647">
        <f>HYPERLINK("https://www.jouwictvacature.nl/solliciteren?job=senior-software-developer-front-endback-end-bij-sysunite-bv", "Link")</f>
        <v/>
      </c>
      <c r="I647" t="s">
        <v>17</v>
      </c>
      <c r="J647" t="s">
        <v>18</v>
      </c>
      <c r="K647" t="s">
        <v>500</v>
      </c>
      <c r="L647" t="s">
        <v>505</v>
      </c>
    </row>
    <row hidden="1" r="648" s="1" spans="1:12">
      <c r="A648" s="4" t="n">
        <v>43125</v>
      </c>
      <c r="B648" t="s">
        <v>693</v>
      </c>
      <c r="C648" t="s">
        <v>694</v>
      </c>
      <c r="D648" t="s">
        <v>22</v>
      </c>
      <c r="E648" t="s">
        <v>15</v>
      </c>
      <c r="F648" t="s">
        <v>16</v>
      </c>
      <c r="G648" t="s">
        <v>693</v>
      </c>
      <c r="H648">
        <f>HYPERLINK("https://www.jouwictvacature.nl/solliciteren?job=senior-mendix-developer", "Link")</f>
        <v/>
      </c>
      <c r="I648" t="s">
        <v>17</v>
      </c>
      <c r="J648" t="s">
        <v>18</v>
      </c>
      <c r="K648" t="s">
        <v>1339</v>
      </c>
      <c r="L648" t="s">
        <v>1340</v>
      </c>
    </row>
    <row hidden="1" r="649" s="1" spans="1:12">
      <c r="A649" s="4" t="n">
        <v>43125</v>
      </c>
      <c r="B649" t="s">
        <v>174</v>
      </c>
      <c r="C649" t="s">
        <v>80</v>
      </c>
      <c r="D649" t="s">
        <v>22</v>
      </c>
      <c r="E649" t="s">
        <v>15</v>
      </c>
      <c r="F649" t="s">
        <v>52</v>
      </c>
      <c r="G649" t="s">
        <v>1341</v>
      </c>
      <c r="H649">
        <f>HYPERLINK("https://www.jouwictvacature.nl/solliciteren?job=medior-java-developer--hibernate-jpa-spring-mvc-oracle-bij-dpa-geos-2", "Link")</f>
        <v/>
      </c>
      <c r="I649" t="s">
        <v>17</v>
      </c>
      <c r="J649" t="s">
        <v>18</v>
      </c>
      <c r="K649" t="s">
        <v>179</v>
      </c>
      <c r="L649" t="s">
        <v>1342</v>
      </c>
    </row>
    <row hidden="1" r="650" s="1" spans="1:12">
      <c r="A650" s="4" t="n">
        <v>43125</v>
      </c>
      <c r="B650" t="s">
        <v>12</v>
      </c>
      <c r="C650" t="s">
        <v>21</v>
      </c>
      <c r="D650" t="s">
        <v>22</v>
      </c>
      <c r="E650" t="s">
        <v>15</v>
      </c>
      <c r="F650" t="s">
        <v>16</v>
      </c>
      <c r="G650" t="s">
        <v>12</v>
      </c>
      <c r="H650">
        <f>HYPERLINK("https://www.jouwictvacature.nl/solliciteren?job=architect-net-bij-4dotnet-2", "Link")</f>
        <v/>
      </c>
      <c r="I650" t="s">
        <v>17</v>
      </c>
      <c r="J650" t="s">
        <v>18</v>
      </c>
      <c r="K650" t="s">
        <v>19</v>
      </c>
      <c r="L650" t="s">
        <v>1343</v>
      </c>
    </row>
    <row hidden="1" r="651" s="1" spans="1:12">
      <c r="A651" s="4" t="n">
        <v>43125</v>
      </c>
      <c r="B651" t="s">
        <v>104</v>
      </c>
      <c r="C651" t="s">
        <v>62</v>
      </c>
      <c r="D651" t="s">
        <v>22</v>
      </c>
      <c r="E651" t="s">
        <v>15</v>
      </c>
      <c r="F651" t="s">
        <v>16</v>
      </c>
      <c r="G651" t="s">
        <v>104</v>
      </c>
      <c r="H651">
        <f>HYPERLINK("https://www.jouwictvacature.nl/solliciteren?job=senior-net-ontwikkelaar-bij-betabit-regio-utrechtamsterdam", "Link")</f>
        <v/>
      </c>
      <c r="I651" t="s">
        <v>17</v>
      </c>
      <c r="J651" t="s">
        <v>18</v>
      </c>
      <c r="K651" t="s">
        <v>107</v>
      </c>
      <c r="L651" t="s">
        <v>1344</v>
      </c>
    </row>
    <row hidden="1" r="652" s="1" spans="1:12">
      <c r="A652" s="4" t="n">
        <v>43125</v>
      </c>
      <c r="B652" t="s">
        <v>109</v>
      </c>
      <c r="C652" t="s">
        <v>80</v>
      </c>
      <c r="D652" t="s">
        <v>22</v>
      </c>
      <c r="E652" t="s">
        <v>15</v>
      </c>
      <c r="F652" t="s">
        <v>16</v>
      </c>
      <c r="G652" t="s">
        <v>109</v>
      </c>
      <c r="H652">
        <f>HYPERLINK("https://www.jouwictvacature.nl/solliciteren?job=medior--senior-net-developer-cnet-aspnet-mvc-azure", "Link")</f>
        <v/>
      </c>
      <c r="I652" t="s">
        <v>17</v>
      </c>
      <c r="J652" t="s">
        <v>18</v>
      </c>
      <c r="K652" t="s">
        <v>110</v>
      </c>
      <c r="L652" t="s">
        <v>1345</v>
      </c>
    </row>
    <row hidden="1" r="653" s="1" spans="1:12">
      <c r="A653" s="4" t="n">
        <v>43125</v>
      </c>
      <c r="B653" t="s">
        <v>308</v>
      </c>
      <c r="C653" t="s">
        <v>309</v>
      </c>
      <c r="D653" t="s">
        <v>14</v>
      </c>
      <c r="E653" t="s">
        <v>15</v>
      </c>
      <c r="F653" t="s">
        <v>16</v>
      </c>
      <c r="G653" t="s">
        <v>706</v>
      </c>
      <c r="H653">
        <f>HYPERLINK("https://www.jouwictvacature.nl/solliciteren?job=cc-developer-bij-marketgraph--c-opengl-3d-programmeren", "Link")</f>
        <v/>
      </c>
      <c r="I653" t="s">
        <v>17</v>
      </c>
      <c r="J653" t="s">
        <v>18</v>
      </c>
      <c r="K653" t="s">
        <v>311</v>
      </c>
      <c r="L653" t="s">
        <v>707</v>
      </c>
    </row>
    <row hidden="1" r="654" s="1" spans="1:12">
      <c r="A654" s="4" t="n">
        <v>43125</v>
      </c>
      <c r="B654" t="s">
        <v>37</v>
      </c>
      <c r="C654" t="s">
        <v>38</v>
      </c>
      <c r="D654" t="s">
        <v>22</v>
      </c>
      <c r="E654" t="s">
        <v>15</v>
      </c>
      <c r="F654" t="s">
        <v>52</v>
      </c>
      <c r="G654" t="s">
        <v>1125</v>
      </c>
      <c r="H654">
        <f>HYPERLINK("https://www.jouwictvacature.nl/solliciteren?job=medior-javascript-developer-bij-advitrae", "Link")</f>
        <v/>
      </c>
      <c r="I654" t="s">
        <v>17</v>
      </c>
      <c r="J654" t="s">
        <v>18</v>
      </c>
      <c r="K654" t="s">
        <v>40</v>
      </c>
      <c r="L654" t="s">
        <v>1126</v>
      </c>
    </row>
    <row r="655" spans="1:12">
      <c r="A655" s="4" t="n">
        <v>43125</v>
      </c>
      <c r="B655" t="s">
        <v>49</v>
      </c>
      <c r="C655" t="s">
        <v>50</v>
      </c>
      <c r="D655" t="s">
        <v>22</v>
      </c>
      <c r="E655" t="s">
        <v>51</v>
      </c>
      <c r="F655" t="s">
        <v>34</v>
      </c>
      <c r="G655" t="s">
        <v>1346</v>
      </c>
      <c r="H655">
        <f>HYPERLINK("https://www.jouwictvacature.nl/solliciteren?job=junior-front-end-angular2-developer-bij-asamco-bv", "Link")</f>
        <v/>
      </c>
      <c r="I655" t="s">
        <v>17</v>
      </c>
      <c r="J655" t="s">
        <v>18</v>
      </c>
      <c r="K655" t="s">
        <v>1347</v>
      </c>
      <c r="L655" t="s">
        <v>1348</v>
      </c>
    </row>
    <row hidden="1" r="656" s="1" spans="1:12">
      <c r="A656" s="4" t="n">
        <v>43125</v>
      </c>
      <c r="B656" t="s">
        <v>257</v>
      </c>
      <c r="C656" t="s">
        <v>13</v>
      </c>
      <c r="D656" t="s">
        <v>14</v>
      </c>
      <c r="E656" t="s">
        <v>15</v>
      </c>
      <c r="F656" t="s">
        <v>52</v>
      </c>
      <c r="G656" t="s">
        <v>266</v>
      </c>
      <c r="H656">
        <f>HYPERLINK("https://www.jouwictvacature.nl/solliciteren?job=medior-net-developer-met-ambitie-om-snel-te-groeien-tot-lead-developer", "Link")</f>
        <v/>
      </c>
      <c r="I656" t="s">
        <v>17</v>
      </c>
      <c r="J656" t="s">
        <v>18</v>
      </c>
      <c r="K656" t="s">
        <v>259</v>
      </c>
      <c r="L656" t="s">
        <v>267</v>
      </c>
    </row>
    <row r="657" spans="1:12">
      <c r="A657" s="4" t="n">
        <v>43125</v>
      </c>
      <c r="B657" t="s">
        <v>963</v>
      </c>
      <c r="C657" t="s">
        <v>38</v>
      </c>
      <c r="D657" t="s">
        <v>14</v>
      </c>
      <c r="E657" t="s">
        <v>51</v>
      </c>
      <c r="F657" t="s">
        <v>28</v>
      </c>
      <c r="G657" t="s">
        <v>964</v>
      </c>
      <c r="H657">
        <f>HYPERLINK("https://www.jouwictvacature.nl/solliciteren?job=senior-full-stack-focus-on-front-end-bij-pyton-an-amadeus-company", "Link")</f>
        <v/>
      </c>
      <c r="I657" t="s">
        <v>17</v>
      </c>
      <c r="J657" t="s">
        <v>18</v>
      </c>
      <c r="K657" t="s">
        <v>965</v>
      </c>
      <c r="L657" t="s">
        <v>966</v>
      </c>
    </row>
    <row hidden="1" r="658" s="1" spans="1:12">
      <c r="A658" s="4" t="n">
        <v>43125</v>
      </c>
      <c r="B658" t="s">
        <v>104</v>
      </c>
      <c r="C658" t="s">
        <v>93</v>
      </c>
      <c r="D658" t="s">
        <v>22</v>
      </c>
      <c r="E658" t="s">
        <v>15</v>
      </c>
      <c r="F658" t="s">
        <v>16</v>
      </c>
      <c r="G658" t="s">
        <v>104</v>
      </c>
      <c r="H658">
        <f>HYPERLINK("https://www.jouwictvacature.nl/solliciteren?job=junior-softwareontwikkelaar-bij-betabit-regio-rotterdam", "Link")</f>
        <v/>
      </c>
      <c r="I658" t="s">
        <v>17</v>
      </c>
      <c r="J658" t="s">
        <v>18</v>
      </c>
      <c r="K658" t="s">
        <v>1349</v>
      </c>
      <c r="L658" t="s">
        <v>1350</v>
      </c>
    </row>
    <row hidden="1" r="659" s="1" spans="1:12">
      <c r="A659" s="4" t="n">
        <v>43125</v>
      </c>
      <c r="B659" t="s">
        <v>391</v>
      </c>
      <c r="C659" t="s">
        <v>392</v>
      </c>
      <c r="D659" t="s">
        <v>14</v>
      </c>
      <c r="E659" t="s">
        <v>15</v>
      </c>
      <c r="F659" t="s">
        <v>16</v>
      </c>
      <c r="G659" t="s">
        <v>1351</v>
      </c>
      <c r="H659">
        <f>HYPERLINK("https://www.jouwictvacature.nl/solliciteren?job=technical-lead-c-aspnet-mvc-bij-paralax-", "Link")</f>
        <v/>
      </c>
      <c r="I659" t="s">
        <v>17</v>
      </c>
      <c r="J659" t="s">
        <v>18</v>
      </c>
      <c r="K659" t="s">
        <v>394</v>
      </c>
      <c r="L659" t="s">
        <v>1352</v>
      </c>
    </row>
    <row hidden="1" r="660" s="1" spans="1:12">
      <c r="A660" s="4" t="n">
        <v>43125</v>
      </c>
      <c r="B660" t="s">
        <v>478</v>
      </c>
      <c r="C660" t="s">
        <v>479</v>
      </c>
      <c r="D660" t="s">
        <v>245</v>
      </c>
      <c r="E660" t="s">
        <v>15</v>
      </c>
      <c r="F660" t="s">
        <v>16</v>
      </c>
      <c r="G660" t="s">
        <v>483</v>
      </c>
      <c r="H660">
        <f>HYPERLINK("https://www.jouwictvacature.nl/solliciteren?job=gedreven-senior-zend-developer-met-ervaring-gezocht-bij-square", "Link")</f>
        <v/>
      </c>
      <c r="I660" t="s">
        <v>17</v>
      </c>
      <c r="J660" t="s">
        <v>18</v>
      </c>
      <c r="K660" t="s">
        <v>484</v>
      </c>
      <c r="L660" t="s">
        <v>485</v>
      </c>
    </row>
    <row r="661" spans="1:12">
      <c r="A661" s="4" t="n">
        <v>43125</v>
      </c>
      <c r="B661" t="s">
        <v>889</v>
      </c>
      <c r="C661" t="s">
        <v>80</v>
      </c>
      <c r="D661" t="s">
        <v>14</v>
      </c>
      <c r="E661" t="s">
        <v>51</v>
      </c>
      <c r="F661" t="s">
        <v>28</v>
      </c>
      <c r="G661" t="s">
        <v>1008</v>
      </c>
      <c r="H661">
        <f>HYPERLINK("https://www.jouwictvacature.nl/solliciteren?job=senior-php-developer-bij-lightspeed", "Link")</f>
        <v/>
      </c>
      <c r="I661" t="s">
        <v>17</v>
      </c>
      <c r="J661" t="s">
        <v>18</v>
      </c>
      <c r="K661" t="s">
        <v>891</v>
      </c>
      <c r="L661" t="s">
        <v>1009</v>
      </c>
    </row>
    <row hidden="1" r="662" s="1" spans="1:12">
      <c r="A662" s="4" t="n">
        <v>43125</v>
      </c>
      <c r="B662" t="s">
        <v>1145</v>
      </c>
      <c r="C662" t="s">
        <v>1146</v>
      </c>
      <c r="D662" t="s">
        <v>245</v>
      </c>
      <c r="E662" t="s">
        <v>15</v>
      </c>
      <c r="F662" t="s">
        <v>16</v>
      </c>
      <c r="G662" t="s">
        <v>1147</v>
      </c>
      <c r="H662">
        <f>HYPERLINK("https://www.jouwictvacature.nl/solliciteren?job=full-stack-php-programmeur", "Link")</f>
        <v/>
      </c>
      <c r="I662" t="s">
        <v>17</v>
      </c>
      <c r="J662" t="s">
        <v>18</v>
      </c>
      <c r="K662" t="s">
        <v>1148</v>
      </c>
      <c r="L662" t="s">
        <v>1149</v>
      </c>
    </row>
    <row hidden="1" r="663" s="1" spans="1:12">
      <c r="A663" s="4" t="n">
        <v>43125</v>
      </c>
      <c r="B663" t="s">
        <v>1020</v>
      </c>
      <c r="C663" t="s">
        <v>1021</v>
      </c>
      <c r="D663" t="s">
        <v>245</v>
      </c>
      <c r="E663" t="s">
        <v>15</v>
      </c>
      <c r="F663" t="s">
        <v>16</v>
      </c>
      <c r="G663" t="s">
        <v>1353</v>
      </c>
      <c r="H663">
        <f>HYPERLINK("https://www.jouwictvacature.nl/solliciteren?job=php-web-developer-medior-bij-the-fuel-company", "Link")</f>
        <v/>
      </c>
      <c r="I663" t="s">
        <v>17</v>
      </c>
      <c r="J663" t="s">
        <v>18</v>
      </c>
      <c r="K663" t="s">
        <v>1023</v>
      </c>
      <c r="L663" t="s">
        <v>1354</v>
      </c>
    </row>
    <row hidden="1" r="664" s="1" spans="1:12">
      <c r="A664" s="4" t="n">
        <v>43125</v>
      </c>
      <c r="B664" t="s">
        <v>230</v>
      </c>
      <c r="C664" t="s">
        <v>93</v>
      </c>
      <c r="D664" t="s">
        <v>22</v>
      </c>
      <c r="E664" t="s">
        <v>15</v>
      </c>
      <c r="F664" t="s">
        <v>52</v>
      </c>
      <c r="G664" t="s">
        <v>1355</v>
      </c>
      <c r="H664">
        <f>HYPERLINK("https://www.jouwictvacature.nl/solliciteren?job=medior-php-programmeur-bij-hvmp-marketing--ernesto-", "Link")</f>
        <v/>
      </c>
      <c r="I664" t="s">
        <v>17</v>
      </c>
      <c r="J664" t="s">
        <v>18</v>
      </c>
      <c r="K664" t="s">
        <v>235</v>
      </c>
      <c r="L664" t="s">
        <v>1356</v>
      </c>
    </row>
    <row hidden="1" r="665" s="1" spans="1:12">
      <c r="A665" s="4" t="n">
        <v>43125</v>
      </c>
      <c r="B665" t="s">
        <v>1013</v>
      </c>
      <c r="C665" t="s">
        <v>1014</v>
      </c>
      <c r="D665" t="s">
        <v>14</v>
      </c>
      <c r="E665" t="s">
        <v>15</v>
      </c>
      <c r="F665" t="s">
        <v>34</v>
      </c>
      <c r="G665" t="s">
        <v>1015</v>
      </c>
      <c r="H665">
        <f>HYPERLINK("https://www.jouwictvacature.nl/solliciteren?job=junior-web-developer-4", "Link")</f>
        <v/>
      </c>
      <c r="I665" t="s">
        <v>17</v>
      </c>
      <c r="J665" t="s">
        <v>18</v>
      </c>
      <c r="K665" t="s">
        <v>1357</v>
      </c>
      <c r="L665" t="s">
        <v>1017</v>
      </c>
    </row>
    <row hidden="1" r="666" s="1" spans="1:12">
      <c r="A666" s="4" t="n">
        <v>43125</v>
      </c>
      <c r="B666" t="s">
        <v>432</v>
      </c>
      <c r="C666" t="s">
        <v>433</v>
      </c>
      <c r="D666" t="s">
        <v>245</v>
      </c>
      <c r="E666" t="s">
        <v>15</v>
      </c>
      <c r="F666" t="s">
        <v>16</v>
      </c>
      <c r="G666" t="s">
        <v>1358</v>
      </c>
      <c r="H666">
        <f>HYPERLINK("https://www.jouwictvacature.nl/solliciteren?job=medior-back-end-developer-regio-groningen", "Link")</f>
        <v/>
      </c>
      <c r="I666" t="s">
        <v>17</v>
      </c>
      <c r="J666" t="s">
        <v>18</v>
      </c>
      <c r="K666" t="s">
        <v>435</v>
      </c>
      <c r="L666" t="s">
        <v>1359</v>
      </c>
    </row>
    <row hidden="1" r="667" s="1" spans="1:12">
      <c r="A667" s="4" t="n">
        <v>43125</v>
      </c>
      <c r="B667" t="s">
        <v>813</v>
      </c>
      <c r="C667" t="s">
        <v>309</v>
      </c>
      <c r="D667" t="s">
        <v>245</v>
      </c>
      <c r="E667" t="s">
        <v>15</v>
      </c>
      <c r="F667" t="s">
        <v>52</v>
      </c>
      <c r="G667" t="s">
        <v>1085</v>
      </c>
      <c r="H667">
        <f>HYPERLINK("https://www.jouwictvacature.nl/solliciteren?job=full-stack-developer-bij-telserv--2", "Link")</f>
        <v/>
      </c>
      <c r="I667" t="s">
        <v>17</v>
      </c>
      <c r="J667" t="s">
        <v>18</v>
      </c>
      <c r="K667" t="s">
        <v>815</v>
      </c>
      <c r="L667" t="s">
        <v>1086</v>
      </c>
    </row>
    <row hidden="1" r="668" s="1" spans="1:12">
      <c r="A668" s="4" t="n">
        <v>43125</v>
      </c>
      <c r="B668" t="s">
        <v>1360</v>
      </c>
      <c r="C668" t="s">
        <v>1361</v>
      </c>
      <c r="D668" t="s">
        <v>22</v>
      </c>
      <c r="E668" t="s">
        <v>15</v>
      </c>
      <c r="F668" t="s">
        <v>34</v>
      </c>
      <c r="G668" t="s">
        <v>1362</v>
      </c>
      <c r="H668">
        <f>HYPERLINK("https://www.jouwictvacature.nl/solliciteren?job=back-end-developer-bij-deepdata", "Link")</f>
        <v/>
      </c>
      <c r="I668" t="s">
        <v>17</v>
      </c>
      <c r="J668" t="s">
        <v>18</v>
      </c>
      <c r="K668" t="s">
        <v>1363</v>
      </c>
      <c r="L668" t="s">
        <v>1364</v>
      </c>
    </row>
    <row hidden="1" r="669" s="1" spans="1:12">
      <c r="A669" s="4" t="n">
        <v>43125</v>
      </c>
      <c r="B669" t="s">
        <v>553</v>
      </c>
      <c r="C669" t="s">
        <v>554</v>
      </c>
      <c r="D669" t="s">
        <v>245</v>
      </c>
      <c r="E669" t="s">
        <v>15</v>
      </c>
      <c r="F669" t="s">
        <v>16</v>
      </c>
      <c r="G669" t="s">
        <v>553</v>
      </c>
      <c r="H669">
        <f>HYPERLINK("https://www.jouwictvacature.nl/solliciteren?job=senior-web-architect-bij-ultraware", "Link")</f>
        <v/>
      </c>
      <c r="I669" t="s">
        <v>17</v>
      </c>
      <c r="J669" t="s">
        <v>18</v>
      </c>
      <c r="K669" t="s">
        <v>555</v>
      </c>
      <c r="L669" t="s">
        <v>556</v>
      </c>
    </row>
    <row hidden="1" r="670" s="1" spans="1:12">
      <c r="A670" s="4" t="n">
        <v>43125</v>
      </c>
      <c r="B670" t="s">
        <v>753</v>
      </c>
      <c r="C670" t="s">
        <v>309</v>
      </c>
      <c r="D670" t="s">
        <v>22</v>
      </c>
      <c r="E670" t="s">
        <v>15</v>
      </c>
      <c r="F670" t="s">
        <v>16</v>
      </c>
      <c r="G670" t="s">
        <v>753</v>
      </c>
      <c r="H670">
        <f>HYPERLINK("https://www.jouwictvacature.nl/solliciteren?job=junior-full-stack-developer-bij-creabea", "Link")</f>
        <v/>
      </c>
      <c r="I670" t="s">
        <v>17</v>
      </c>
      <c r="J670" t="s">
        <v>18</v>
      </c>
      <c r="K670" t="s">
        <v>1255</v>
      </c>
      <c r="L670" t="s">
        <v>1365</v>
      </c>
    </row>
    <row r="671" spans="1:12">
      <c r="A671" s="4" t="n">
        <v>43125</v>
      </c>
      <c r="B671" t="s">
        <v>329</v>
      </c>
      <c r="C671" t="s">
        <v>80</v>
      </c>
      <c r="D671" t="s">
        <v>14</v>
      </c>
      <c r="E671" t="s">
        <v>51</v>
      </c>
      <c r="F671" t="s">
        <v>16</v>
      </c>
      <c r="G671" t="s">
        <v>329</v>
      </c>
      <c r="H671">
        <f>HYPERLINK("https://www.jouwictvacature.nl/solliciteren?job=senior-full-stack-developer-bij-member-get-member", "Link")</f>
        <v/>
      </c>
      <c r="I671" t="s">
        <v>17</v>
      </c>
      <c r="J671" t="s">
        <v>18</v>
      </c>
      <c r="K671" t="s">
        <v>330</v>
      </c>
      <c r="L671" t="s">
        <v>1366</v>
      </c>
    </row>
    <row hidden="1" r="672" s="1" spans="1:12">
      <c r="A672" s="4" t="n">
        <v>43125</v>
      </c>
      <c r="B672" t="s">
        <v>374</v>
      </c>
      <c r="C672" t="s">
        <v>93</v>
      </c>
      <c r="D672" t="s">
        <v>14</v>
      </c>
      <c r="E672" t="s">
        <v>15</v>
      </c>
      <c r="F672" t="s">
        <v>52</v>
      </c>
      <c r="G672" t="s">
        <v>661</v>
      </c>
      <c r="H672">
        <f>HYPERLINK("https://www.jouwictvacature.nl/solliciteren?job=medior-fullstack-developer-bij-oo-shopping", "Link")</f>
        <v/>
      </c>
      <c r="I672" t="s">
        <v>17</v>
      </c>
      <c r="J672" t="s">
        <v>18</v>
      </c>
      <c r="K672" t="s">
        <v>376</v>
      </c>
      <c r="L672" t="s">
        <v>1367</v>
      </c>
    </row>
    <row hidden="1" r="673" s="1" spans="1:12">
      <c r="A673" s="4" t="n">
        <v>43125</v>
      </c>
      <c r="B673" t="s">
        <v>304</v>
      </c>
      <c r="C673" t="s">
        <v>305</v>
      </c>
      <c r="D673" t="s">
        <v>14</v>
      </c>
      <c r="E673" t="s">
        <v>15</v>
      </c>
      <c r="F673" t="s">
        <v>16</v>
      </c>
      <c r="G673" t="s">
        <v>304</v>
      </c>
      <c r="H673">
        <f>HYPERLINK("https://www.jouwictvacature.nl/solliciteren?job=nodereact-developer-bij-ksyos", "Link")</f>
        <v/>
      </c>
      <c r="I673" t="s">
        <v>17</v>
      </c>
      <c r="J673" t="s">
        <v>18</v>
      </c>
      <c r="K673" t="s">
        <v>306</v>
      </c>
      <c r="L673" t="s">
        <v>1306</v>
      </c>
    </row>
    <row hidden="1" r="674" s="1" spans="1:12">
      <c r="A674" s="4" t="n">
        <v>43125</v>
      </c>
      <c r="B674" t="s">
        <v>885</v>
      </c>
      <c r="C674" t="s">
        <v>76</v>
      </c>
      <c r="D674" t="s">
        <v>14</v>
      </c>
      <c r="E674" t="s">
        <v>15</v>
      </c>
      <c r="F674" t="s">
        <v>16</v>
      </c>
      <c r="G674" t="s">
        <v>1368</v>
      </c>
      <c r="H674">
        <f>HYPERLINK("https://www.jouwictvacature.nl/solliciteren?job=technische-medior-front-end-developer", "Link")</f>
        <v/>
      </c>
      <c r="I674" t="s">
        <v>17</v>
      </c>
      <c r="J674" t="s">
        <v>18</v>
      </c>
      <c r="K674" t="s">
        <v>887</v>
      </c>
      <c r="L674" t="s">
        <v>1369</v>
      </c>
    </row>
    <row hidden="1" r="675" s="1" spans="1:12">
      <c r="A675" s="4" t="n">
        <v>43125</v>
      </c>
      <c r="B675" t="s">
        <v>843</v>
      </c>
      <c r="C675" t="s">
        <v>45</v>
      </c>
      <c r="D675" t="s">
        <v>245</v>
      </c>
      <c r="E675" t="s">
        <v>15</v>
      </c>
      <c r="F675" t="s">
        <v>52</v>
      </c>
      <c r="G675" t="s">
        <v>1154</v>
      </c>
      <c r="H675">
        <f>HYPERLINK("https://www.jouwictvacature.nl/solliciteren?job=medior-javascript-developer-bij-rivium-business-solutions", "Link")</f>
        <v/>
      </c>
      <c r="I675" t="s">
        <v>17</v>
      </c>
      <c r="J675" t="s">
        <v>18</v>
      </c>
      <c r="K675" t="s">
        <v>1319</v>
      </c>
      <c r="L675" t="s">
        <v>1370</v>
      </c>
    </row>
    <row hidden="1" r="676" s="1" spans="1:12">
      <c r="A676" s="4" t="n">
        <v>43125</v>
      </c>
      <c r="B676" t="s">
        <v>745</v>
      </c>
      <c r="C676" t="s">
        <v>80</v>
      </c>
      <c r="D676" t="s">
        <v>22</v>
      </c>
      <c r="E676" t="s">
        <v>15</v>
      </c>
      <c r="F676" t="s">
        <v>16</v>
      </c>
      <c r="G676" t="s">
        <v>745</v>
      </c>
      <c r="H676">
        <f>HYPERLINK("https://www.jouwictvacature.nl/solliciteren?job=senior-front-end-developer-bij-hostnet", "Link")</f>
        <v/>
      </c>
      <c r="I676" t="s">
        <v>17</v>
      </c>
      <c r="J676" t="s">
        <v>18</v>
      </c>
      <c r="K676" t="s">
        <v>746</v>
      </c>
      <c r="L676" t="s">
        <v>1371</v>
      </c>
    </row>
    <row hidden="1" r="677" s="1" spans="1:12">
      <c r="A677" s="4" t="n">
        <v>43125</v>
      </c>
      <c r="B677" t="s">
        <v>423</v>
      </c>
      <c r="C677" t="s">
        <v>406</v>
      </c>
      <c r="D677" t="s">
        <v>245</v>
      </c>
      <c r="E677" t="s">
        <v>15</v>
      </c>
      <c r="F677" t="s">
        <v>28</v>
      </c>
      <c r="G677" t="s">
        <v>1372</v>
      </c>
      <c r="H677">
        <f>HYPERLINK("https://www.jouwictvacature.nl/solliciteren?job=senior-uiux-designer--front-end-bij-qualogy", "Link")</f>
        <v/>
      </c>
      <c r="I677" t="s">
        <v>17</v>
      </c>
      <c r="J677" t="s">
        <v>18</v>
      </c>
      <c r="K677" t="s">
        <v>1373</v>
      </c>
      <c r="L677" t="s">
        <v>1374</v>
      </c>
    </row>
    <row hidden="1" r="678" s="1" spans="1:12">
      <c r="A678" s="4" t="n">
        <v>43125</v>
      </c>
      <c r="B678" t="s">
        <v>497</v>
      </c>
      <c r="C678" t="s">
        <v>498</v>
      </c>
      <c r="D678" t="s">
        <v>245</v>
      </c>
      <c r="E678" t="s">
        <v>15</v>
      </c>
      <c r="F678" t="s">
        <v>34</v>
      </c>
      <c r="G678" t="s">
        <v>506</v>
      </c>
      <c r="H678">
        <f>HYPERLINK("https://www.jouwictvacature.nl/solliciteren?job=junior-software-developer-front-endback-end-bij-sysunite-bv", "Link")</f>
        <v/>
      </c>
      <c r="I678" t="s">
        <v>17</v>
      </c>
      <c r="J678" t="s">
        <v>18</v>
      </c>
      <c r="K678" t="s">
        <v>500</v>
      </c>
      <c r="L678" t="s">
        <v>507</v>
      </c>
    </row>
    <row hidden="1" r="679" s="1" spans="1:12">
      <c r="A679" s="4" t="n">
        <v>43125</v>
      </c>
      <c r="B679" t="s">
        <v>304</v>
      </c>
      <c r="C679" t="s">
        <v>305</v>
      </c>
      <c r="D679" t="s">
        <v>14</v>
      </c>
      <c r="E679" t="s">
        <v>15</v>
      </c>
      <c r="F679" t="s">
        <v>16</v>
      </c>
      <c r="G679" t="s">
        <v>304</v>
      </c>
      <c r="H679">
        <f>HYPERLINK("https://www.jouwictvacature.nl/solliciteren?job=medior-nodejs-software-engineer", "Link")</f>
        <v/>
      </c>
      <c r="I679" t="s">
        <v>17</v>
      </c>
      <c r="J679" t="s">
        <v>18</v>
      </c>
      <c r="K679" t="s">
        <v>306</v>
      </c>
      <c r="L679" t="s">
        <v>307</v>
      </c>
    </row>
    <row hidden="1" r="680" s="1" spans="1:12">
      <c r="A680" s="4" t="n">
        <v>43129</v>
      </c>
      <c r="B680" t="s">
        <v>115</v>
      </c>
      <c r="C680" t="s">
        <v>62</v>
      </c>
      <c r="D680" t="s">
        <v>22</v>
      </c>
      <c r="E680" t="s">
        <v>15</v>
      </c>
      <c r="F680" t="s">
        <v>28</v>
      </c>
      <c r="G680" t="s">
        <v>1375</v>
      </c>
      <c r="H680">
        <f>HYPERLINK("https://www.jouwictvacature.nl/solliciteren?job=senior-java--vbnet-developer-bij-bottomline-bij-bottomline", "Link")</f>
        <v/>
      </c>
      <c r="I680" t="s">
        <v>17</v>
      </c>
      <c r="J680" t="s">
        <v>18</v>
      </c>
      <c r="K680" t="s">
        <v>1064</v>
      </c>
      <c r="L680" t="s">
        <v>1376</v>
      </c>
    </row>
    <row hidden="1" r="681" s="1" spans="1:12">
      <c r="A681" s="4" t="n">
        <v>43129</v>
      </c>
      <c r="B681" t="s">
        <v>174</v>
      </c>
      <c r="C681" t="s">
        <v>93</v>
      </c>
      <c r="D681" t="s">
        <v>22</v>
      </c>
      <c r="E681" t="s">
        <v>15</v>
      </c>
      <c r="F681" t="s">
        <v>52</v>
      </c>
      <c r="G681" t="s">
        <v>1274</v>
      </c>
      <c r="H681">
        <f>HYPERLINK("https://www.jouwictvacature.nl/solliciteren?job=medior-java-full-stack-developer-bij-dpa-geos-bij-dpa-3", "Link")</f>
        <v/>
      </c>
      <c r="I681" t="s">
        <v>17</v>
      </c>
      <c r="J681" t="s">
        <v>18</v>
      </c>
      <c r="K681" t="s">
        <v>176</v>
      </c>
      <c r="L681" t="s">
        <v>1275</v>
      </c>
    </row>
    <row hidden="1" r="682" s="1" spans="1:12">
      <c r="A682" s="4" t="n">
        <v>43129</v>
      </c>
      <c r="B682" t="s">
        <v>237</v>
      </c>
      <c r="C682" t="s">
        <v>93</v>
      </c>
      <c r="D682" t="s">
        <v>22</v>
      </c>
      <c r="E682" t="s">
        <v>15</v>
      </c>
      <c r="F682" t="s">
        <v>34</v>
      </c>
      <c r="G682" t="s">
        <v>597</v>
      </c>
      <c r="H682">
        <f>HYPERLINK("https://www.jouwictvacature.nl/solliciteren?job=junior-java-developer--spring-angularjs-soap-rest-api-jenkins-bij-hybr-2", "Link")</f>
        <v/>
      </c>
      <c r="I682" t="s">
        <v>17</v>
      </c>
      <c r="J682" t="s">
        <v>18</v>
      </c>
      <c r="K682" t="s">
        <v>242</v>
      </c>
      <c r="L682" t="s">
        <v>598</v>
      </c>
    </row>
    <row hidden="1" r="683" s="1" spans="1:12">
      <c r="A683" s="4" t="n">
        <v>43129</v>
      </c>
      <c r="B683" t="s">
        <v>1377</v>
      </c>
      <c r="C683" t="s">
        <v>1378</v>
      </c>
      <c r="D683" t="s">
        <v>22</v>
      </c>
      <c r="E683" t="s">
        <v>15</v>
      </c>
      <c r="F683" t="s">
        <v>16</v>
      </c>
      <c r="G683" t="s">
        <v>1379</v>
      </c>
      <c r="H683">
        <f>HYPERLINK("https://www.jouwictvacature.nl/solliciteren?job=developer-bij-gappless--java-spring-boot-javascript-postgresql-orm-fra", "Link")</f>
        <v/>
      </c>
      <c r="I683" t="s">
        <v>17</v>
      </c>
      <c r="J683" t="s">
        <v>18</v>
      </c>
      <c r="K683" t="s">
        <v>1380</v>
      </c>
      <c r="L683" t="s">
        <v>1381</v>
      </c>
    </row>
    <row hidden="1" r="684" s="1" spans="1:12">
      <c r="A684" s="4" t="n">
        <v>43129</v>
      </c>
      <c r="B684" t="s">
        <v>71</v>
      </c>
      <c r="C684" t="s">
        <v>38</v>
      </c>
      <c r="D684" t="s">
        <v>22</v>
      </c>
      <c r="E684" t="s">
        <v>15</v>
      </c>
      <c r="F684" t="s">
        <v>34</v>
      </c>
      <c r="G684" t="s">
        <v>1382</v>
      </c>
      <c r="H684">
        <f>HYPERLINK("https://www.jouwictvacature.nl/solliciteren?job=junior-testanalist-bij-bartosz-bij-bartosz-eindhoven", "Link")</f>
        <v/>
      </c>
      <c r="I684" t="s">
        <v>17</v>
      </c>
      <c r="J684" t="s">
        <v>18</v>
      </c>
      <c r="K684" t="s">
        <v>95</v>
      </c>
      <c r="L684" t="s">
        <v>1383</v>
      </c>
    </row>
    <row hidden="1" r="685" s="1" spans="1:12">
      <c r="A685" s="4" t="n">
        <v>43129</v>
      </c>
      <c r="B685" t="s">
        <v>719</v>
      </c>
      <c r="C685" t="s">
        <v>93</v>
      </c>
      <c r="D685" t="s">
        <v>245</v>
      </c>
      <c r="E685" t="s">
        <v>15</v>
      </c>
      <c r="F685" t="s">
        <v>34</v>
      </c>
      <c r="G685" t="s">
        <v>720</v>
      </c>
      <c r="H685">
        <f>HYPERLINK("https://www.jouwictvacature.nl/solliciteren?job=junior-laravel-back-end-developer-bij-23g", "Link")</f>
        <v/>
      </c>
      <c r="I685" t="s">
        <v>17</v>
      </c>
      <c r="J685" t="s">
        <v>18</v>
      </c>
      <c r="K685" t="s">
        <v>721</v>
      </c>
      <c r="L685" t="s">
        <v>722</v>
      </c>
    </row>
    <row hidden="1" r="686" s="1" spans="1:12">
      <c r="A686" s="4" t="n">
        <v>43129</v>
      </c>
      <c r="B686" t="s">
        <v>1377</v>
      </c>
      <c r="C686" t="s">
        <v>1378</v>
      </c>
      <c r="D686" t="s">
        <v>22</v>
      </c>
      <c r="E686" t="s">
        <v>15</v>
      </c>
      <c r="F686" t="s">
        <v>28</v>
      </c>
      <c r="G686" t="s">
        <v>1384</v>
      </c>
      <c r="H686">
        <f>HYPERLINK("https://www.jouwictvacature.nl/solliciteren?job=senior-developer-bij-gappless--java-spring-boot-javascript-postgresql-", "Link")</f>
        <v/>
      </c>
      <c r="I686" t="s">
        <v>17</v>
      </c>
      <c r="J686" t="s">
        <v>18</v>
      </c>
      <c r="K686" t="s">
        <v>1380</v>
      </c>
      <c r="L686" t="s">
        <v>1385</v>
      </c>
    </row>
    <row hidden="1" r="687" s="1" spans="1:12">
      <c r="A687" s="4" t="n">
        <v>43129</v>
      </c>
      <c r="B687" t="s">
        <v>1377</v>
      </c>
      <c r="C687" t="s">
        <v>1378</v>
      </c>
      <c r="D687" t="s">
        <v>22</v>
      </c>
      <c r="E687" t="s">
        <v>15</v>
      </c>
      <c r="F687" t="s">
        <v>16</v>
      </c>
      <c r="G687" t="s">
        <v>1386</v>
      </c>
      <c r="H687">
        <f>HYPERLINK("https://www.jouwictvacature.nl/solliciteren?job=in-de-suikersilos-in-halfweg-aan-de-slag-als-medior-java-developer-bij", "Link")</f>
        <v/>
      </c>
      <c r="I687" t="s">
        <v>17</v>
      </c>
      <c r="J687" t="s">
        <v>18</v>
      </c>
      <c r="K687" t="s">
        <v>1380</v>
      </c>
      <c r="L687" t="s">
        <v>1387</v>
      </c>
    </row>
    <row hidden="1" r="688" s="1" spans="1:12">
      <c r="A688" s="4" t="n">
        <v>43129</v>
      </c>
      <c r="B688" t="s">
        <v>719</v>
      </c>
      <c r="C688" t="s">
        <v>93</v>
      </c>
      <c r="D688" t="s">
        <v>245</v>
      </c>
      <c r="E688" t="s">
        <v>15</v>
      </c>
      <c r="F688" t="s">
        <v>16</v>
      </c>
      <c r="G688" t="s">
        <v>1388</v>
      </c>
      <c r="H688">
        <f>HYPERLINK("https://www.jouwictvacature.nl/solliciteren?job=back-end-developer-6", "Link")</f>
        <v/>
      </c>
      <c r="I688" t="s">
        <v>17</v>
      </c>
      <c r="J688" t="s">
        <v>18</v>
      </c>
      <c r="K688" t="s">
        <v>721</v>
      </c>
      <c r="L688" t="s">
        <v>1389</v>
      </c>
    </row>
    <row hidden="1" r="689" s="1" spans="1:12">
      <c r="A689" s="4" t="n">
        <v>43132</v>
      </c>
      <c r="B689" t="s">
        <v>719</v>
      </c>
      <c r="C689" t="s">
        <v>93</v>
      </c>
      <c r="D689" t="s">
        <v>245</v>
      </c>
      <c r="E689" t="s">
        <v>15</v>
      </c>
      <c r="F689" t="s">
        <v>52</v>
      </c>
      <c r="G689" t="s">
        <v>1390</v>
      </c>
      <c r="H689">
        <f>HYPERLINK("https://www.jouwictvacature.nl/solliciteren?job=medior-back-end-developer-bij-23g", "Link")</f>
        <v/>
      </c>
      <c r="I689" t="s">
        <v>17</v>
      </c>
      <c r="J689" t="s">
        <v>18</v>
      </c>
      <c r="K689" t="s">
        <v>721</v>
      </c>
      <c r="L689" t="s">
        <v>1391</v>
      </c>
    </row>
    <row hidden="1" r="690" s="1" spans="1:12">
      <c r="A690" s="4" t="n">
        <v>43129</v>
      </c>
      <c r="B690" t="s">
        <v>12</v>
      </c>
      <c r="C690" t="s">
        <v>13</v>
      </c>
      <c r="D690" t="s">
        <v>245</v>
      </c>
      <c r="E690" t="s">
        <v>15</v>
      </c>
      <c r="F690" t="s">
        <v>16</v>
      </c>
      <c r="G690" t="s">
        <v>12</v>
      </c>
      <c r="H690">
        <f>HYPERLINK("https://www.jouwictvacature.nl/solliciteren?job=lead-net-developer-bij-4dotnet", "Link")</f>
        <v/>
      </c>
      <c r="I690" t="s">
        <v>17</v>
      </c>
      <c r="J690" t="s">
        <v>18</v>
      </c>
      <c r="K690" t="s">
        <v>19</v>
      </c>
      <c r="L690" t="s">
        <v>1392</v>
      </c>
    </row>
    <row hidden="1" r="691" s="1" spans="1:12">
      <c r="A691" s="4" t="n">
        <v>43129</v>
      </c>
      <c r="B691" t="s">
        <v>856</v>
      </c>
      <c r="C691" t="s">
        <v>50</v>
      </c>
      <c r="D691" t="s">
        <v>22</v>
      </c>
      <c r="E691" t="s">
        <v>15</v>
      </c>
      <c r="F691" t="s">
        <v>16</v>
      </c>
      <c r="G691" t="s">
        <v>856</v>
      </c>
      <c r="H691">
        <f>HYPERLINK("https://www.jouwictvacature.nl/solliciteren?job=docent-business-it-en-management-bij-avans-hogeschool", "Link")</f>
        <v/>
      </c>
      <c r="I691" t="s">
        <v>17</v>
      </c>
      <c r="J691" t="s">
        <v>18</v>
      </c>
      <c r="K691" t="s">
        <v>1291</v>
      </c>
      <c r="L691" t="s">
        <v>1292</v>
      </c>
    </row>
    <row hidden="1" r="692" s="1" spans="1:12">
      <c r="A692" s="4" t="n">
        <v>43132</v>
      </c>
      <c r="B692" t="s">
        <v>12</v>
      </c>
      <c r="C692" t="s">
        <v>13</v>
      </c>
      <c r="D692" t="s">
        <v>245</v>
      </c>
      <c r="E692" t="s">
        <v>15</v>
      </c>
      <c r="F692" t="s">
        <v>16</v>
      </c>
      <c r="G692" t="s">
        <v>12</v>
      </c>
      <c r="H692">
        <f>HYPERLINK("https://www.jouwictvacature.nl/solliciteren?job=lead-net-developer-bij-4dotnet", "Link")</f>
        <v/>
      </c>
      <c r="I692" t="s">
        <v>17</v>
      </c>
      <c r="J692" t="s">
        <v>18</v>
      </c>
      <c r="K692" t="s">
        <v>19</v>
      </c>
      <c r="L692" t="s">
        <v>1392</v>
      </c>
    </row>
    <row r="693" spans="1:12">
      <c r="A693" s="4" t="n">
        <v>43129</v>
      </c>
      <c r="B693" t="s">
        <v>963</v>
      </c>
      <c r="C693" t="s">
        <v>38</v>
      </c>
      <c r="D693" t="s">
        <v>14</v>
      </c>
      <c r="E693" t="s">
        <v>51</v>
      </c>
      <c r="F693" t="s">
        <v>52</v>
      </c>
      <c r="G693" t="s">
        <v>1393</v>
      </c>
      <c r="H693">
        <f>HYPERLINK("https://www.jouwictvacature.nl/solliciteren?job=medior-web-developer-focus-on-front-end-bij-pyton-an-amadeus-company", "Link")</f>
        <v/>
      </c>
      <c r="I693" t="s">
        <v>17</v>
      </c>
      <c r="J693" t="s">
        <v>18</v>
      </c>
      <c r="K693" t="s">
        <v>965</v>
      </c>
      <c r="L693" t="s">
        <v>1394</v>
      </c>
    </row>
    <row r="694" spans="1:12">
      <c r="A694" s="4" t="n">
        <v>43129</v>
      </c>
      <c r="B694" t="s">
        <v>49</v>
      </c>
      <c r="C694" t="s">
        <v>50</v>
      </c>
      <c r="D694" t="s">
        <v>22</v>
      </c>
      <c r="E694" t="s">
        <v>51</v>
      </c>
      <c r="F694" t="s">
        <v>52</v>
      </c>
      <c r="G694" t="s">
        <v>53</v>
      </c>
      <c r="H694">
        <f>HYPERLINK("https://www.jouwictvacature.nl/solliciteren?job=medior-front-end-angular2-developer-bij-asamco-bv", "Link")</f>
        <v/>
      </c>
      <c r="I694" t="s">
        <v>17</v>
      </c>
      <c r="J694" t="s">
        <v>18</v>
      </c>
      <c r="K694" t="s">
        <v>54</v>
      </c>
      <c r="L694" t="s">
        <v>55</v>
      </c>
    </row>
    <row hidden="1" r="695" s="1" spans="1:12">
      <c r="A695" s="4" t="n">
        <v>43129</v>
      </c>
      <c r="B695" t="s">
        <v>1174</v>
      </c>
      <c r="C695" t="s">
        <v>1175</v>
      </c>
      <c r="D695" t="s">
        <v>22</v>
      </c>
      <c r="E695" t="s">
        <v>15</v>
      </c>
      <c r="F695" t="s">
        <v>16</v>
      </c>
      <c r="G695" t="s">
        <v>1395</v>
      </c>
      <c r="H695">
        <f>HYPERLINK("https://www.jouwictvacature.nl/solliciteren?job=wij-zijn-op-zoek-naar-een-startende-c-developer-in-woerden", "Link")</f>
        <v/>
      </c>
      <c r="I695" t="s">
        <v>17</v>
      </c>
      <c r="J695" t="s">
        <v>18</v>
      </c>
      <c r="K695" t="s">
        <v>1177</v>
      </c>
      <c r="L695" t="s">
        <v>1396</v>
      </c>
    </row>
    <row hidden="1" r="696" s="1" spans="1:12">
      <c r="A696" s="4" t="n">
        <v>43129</v>
      </c>
      <c r="B696" t="s">
        <v>856</v>
      </c>
      <c r="C696" t="s">
        <v>50</v>
      </c>
      <c r="D696" t="s">
        <v>22</v>
      </c>
      <c r="E696" t="s">
        <v>15</v>
      </c>
      <c r="F696" t="s">
        <v>16</v>
      </c>
      <c r="G696" t="s">
        <v>856</v>
      </c>
      <c r="H696">
        <f>HYPERLINK("https://www.jouwictvacature.nl/solliciteren?job=docent-ict", "Link")</f>
        <v/>
      </c>
      <c r="I696" t="s">
        <v>17</v>
      </c>
      <c r="J696" t="s">
        <v>18</v>
      </c>
      <c r="K696" t="s">
        <v>1397</v>
      </c>
      <c r="L696" t="s">
        <v>1398</v>
      </c>
    </row>
    <row hidden="1" r="697" s="1" spans="1:12">
      <c r="A697" s="4" t="n">
        <v>43129</v>
      </c>
      <c r="B697" t="s">
        <v>244</v>
      </c>
      <c r="C697" t="s">
        <v>45</v>
      </c>
      <c r="D697" t="s">
        <v>245</v>
      </c>
      <c r="E697" t="s">
        <v>15</v>
      </c>
      <c r="F697" t="s">
        <v>52</v>
      </c>
      <c r="G697" t="s">
        <v>1083</v>
      </c>
      <c r="H697">
        <f>HYPERLINK("https://www.jouwictvacature.nl/solliciteren?job=medior-php-back-end-developer-bij-i3dnet", "Link")</f>
        <v/>
      </c>
      <c r="I697" t="s">
        <v>17</v>
      </c>
      <c r="J697" t="s">
        <v>18</v>
      </c>
      <c r="K697" t="s">
        <v>247</v>
      </c>
      <c r="L697" t="s">
        <v>1084</v>
      </c>
    </row>
    <row r="698" spans="1:12">
      <c r="A698" s="4" t="n">
        <v>43132</v>
      </c>
      <c r="B698" t="s">
        <v>1399</v>
      </c>
      <c r="C698" t="s">
        <v>309</v>
      </c>
      <c r="D698" t="s">
        <v>245</v>
      </c>
      <c r="E698" t="s">
        <v>51</v>
      </c>
      <c r="F698" t="s">
        <v>16</v>
      </c>
      <c r="G698" t="s">
        <v>1400</v>
      </c>
      <c r="H698">
        <f>HYPERLINK("https://www.jouwictvacature.nl/solliciteren?job=java-developer-at-msg-life-benelux", "Link")</f>
        <v/>
      </c>
      <c r="I698" t="s">
        <v>17</v>
      </c>
      <c r="J698" t="s">
        <v>18</v>
      </c>
      <c r="K698" t="s">
        <v>1401</v>
      </c>
      <c r="L698" t="s">
        <v>1402</v>
      </c>
    </row>
    <row hidden="1" r="699" s="1" spans="1:12">
      <c r="A699" s="4" t="n">
        <v>43129</v>
      </c>
      <c r="B699" t="s">
        <v>423</v>
      </c>
      <c r="C699" t="s">
        <v>406</v>
      </c>
      <c r="D699" t="s">
        <v>245</v>
      </c>
      <c r="E699" t="s">
        <v>15</v>
      </c>
      <c r="F699" t="s">
        <v>28</v>
      </c>
      <c r="G699" t="s">
        <v>1403</v>
      </c>
      <c r="H699">
        <f>HYPERLINK("https://www.jouwictvacature.nl/solliciteren?job=senior-oracle-fusion-middleware-specialist", "Link")</f>
        <v/>
      </c>
      <c r="I699" t="s">
        <v>17</v>
      </c>
      <c r="J699" t="s">
        <v>18</v>
      </c>
      <c r="K699" t="s">
        <v>1404</v>
      </c>
      <c r="L699" t="s">
        <v>1405</v>
      </c>
    </row>
    <row hidden="1" r="700" s="1" spans="1:12">
      <c r="A700" s="4" t="n">
        <v>43129</v>
      </c>
      <c r="B700" t="s">
        <v>423</v>
      </c>
      <c r="C700" t="s">
        <v>406</v>
      </c>
      <c r="D700" t="s">
        <v>245</v>
      </c>
      <c r="E700" t="s">
        <v>15</v>
      </c>
      <c r="F700" t="s">
        <v>28</v>
      </c>
      <c r="G700" t="s">
        <v>1372</v>
      </c>
      <c r="H700">
        <f>HYPERLINK("https://www.jouwictvacature.nl/solliciteren?job=senior-uiux-designer--front-end-bij-qualogy", "Link")</f>
        <v/>
      </c>
      <c r="I700" t="s">
        <v>17</v>
      </c>
      <c r="J700" t="s">
        <v>18</v>
      </c>
      <c r="K700" t="s">
        <v>1373</v>
      </c>
      <c r="L700" t="s">
        <v>1374</v>
      </c>
    </row>
    <row hidden="1" r="701" s="1" spans="1:12">
      <c r="A701" s="4" t="n">
        <v>43130</v>
      </c>
      <c r="B701" t="s">
        <v>423</v>
      </c>
      <c r="C701" t="s">
        <v>406</v>
      </c>
      <c r="D701" t="s">
        <v>245</v>
      </c>
      <c r="E701" t="s">
        <v>15</v>
      </c>
      <c r="F701" t="s">
        <v>34</v>
      </c>
      <c r="G701" t="s">
        <v>1322</v>
      </c>
      <c r="H701">
        <f>HYPERLINK("https://www.jouwictvacature.nl/solliciteren?job=junior-java-ontwikkelaar-2", "Link")</f>
        <v/>
      </c>
      <c r="I701" t="s">
        <v>17</v>
      </c>
      <c r="J701" t="s">
        <v>18</v>
      </c>
      <c r="K701" t="s">
        <v>1323</v>
      </c>
      <c r="L701" t="s">
        <v>1324</v>
      </c>
    </row>
    <row hidden="1" r="702" s="1" spans="1:12">
      <c r="A702" s="4" t="n">
        <v>43130</v>
      </c>
      <c r="B702" t="s">
        <v>423</v>
      </c>
      <c r="C702" t="s">
        <v>406</v>
      </c>
      <c r="D702" t="s">
        <v>245</v>
      </c>
      <c r="E702" t="s">
        <v>15</v>
      </c>
      <c r="F702" t="s">
        <v>28</v>
      </c>
      <c r="G702" t="s">
        <v>1403</v>
      </c>
      <c r="H702">
        <f>HYPERLINK("https://www.jouwictvacature.nl/solliciteren?job=senior-oracle-fusion-middleware-specialist", "Link")</f>
        <v/>
      </c>
      <c r="I702" t="s">
        <v>17</v>
      </c>
      <c r="J702" t="s">
        <v>18</v>
      </c>
      <c r="K702" t="s">
        <v>1404</v>
      </c>
      <c r="L702" t="s">
        <v>1405</v>
      </c>
    </row>
    <row hidden="1" r="703" s="1" spans="1:12">
      <c r="A703" s="4" t="n">
        <v>43130</v>
      </c>
      <c r="B703" t="s">
        <v>423</v>
      </c>
      <c r="C703" t="s">
        <v>406</v>
      </c>
      <c r="D703" t="s">
        <v>245</v>
      </c>
      <c r="E703" t="s">
        <v>15</v>
      </c>
      <c r="F703" t="s">
        <v>52</v>
      </c>
      <c r="G703" t="s">
        <v>594</v>
      </c>
      <c r="H703">
        <f>HYPERLINK("https://www.jouwictvacature.nl/solliciteren?job=medior-fullstack-developer-bij-qualogy", "Link")</f>
        <v/>
      </c>
      <c r="I703" t="s">
        <v>17</v>
      </c>
      <c r="J703" t="s">
        <v>18</v>
      </c>
      <c r="K703" t="s">
        <v>425</v>
      </c>
      <c r="L703" t="s">
        <v>897</v>
      </c>
    </row>
    <row hidden="1" r="704" s="1" spans="1:12">
      <c r="A704" s="4" t="n">
        <v>43129</v>
      </c>
      <c r="B704" t="s">
        <v>881</v>
      </c>
      <c r="C704" t="s">
        <v>428</v>
      </c>
      <c r="D704" t="s">
        <v>22</v>
      </c>
      <c r="E704" t="s">
        <v>15</v>
      </c>
      <c r="F704" t="s">
        <v>28</v>
      </c>
      <c r="G704" t="s">
        <v>295</v>
      </c>
      <c r="H704">
        <f>HYPERLINK("https://www.jouwictvacature.nl/solliciteren?job=senior-php-developer-bij-cepo", "Link")</f>
        <v/>
      </c>
      <c r="I704" t="s">
        <v>17</v>
      </c>
      <c r="J704" t="s">
        <v>18</v>
      </c>
      <c r="K704" t="s">
        <v>883</v>
      </c>
      <c r="L704" t="s">
        <v>1406</v>
      </c>
    </row>
    <row r="705" spans="1:12">
      <c r="A705" s="4" t="n">
        <v>43129</v>
      </c>
      <c r="B705" t="s">
        <v>49</v>
      </c>
      <c r="C705" t="s">
        <v>50</v>
      </c>
      <c r="D705" t="s">
        <v>22</v>
      </c>
      <c r="E705" t="s">
        <v>51</v>
      </c>
      <c r="F705" t="s">
        <v>28</v>
      </c>
      <c r="G705" t="s">
        <v>58</v>
      </c>
      <c r="H705">
        <f>HYPERLINK("https://www.jouwictvacature.nl/solliciteren?job=senior-allround-developer-bij-asamco-bv", "Link")</f>
        <v/>
      </c>
      <c r="I705" t="s">
        <v>17</v>
      </c>
      <c r="J705" t="s">
        <v>18</v>
      </c>
      <c r="K705" t="s">
        <v>59</v>
      </c>
      <c r="L705" t="s">
        <v>60</v>
      </c>
    </row>
    <row hidden="1" r="706" s="1" spans="1:12">
      <c r="A706" s="4" t="n">
        <v>43129</v>
      </c>
      <c r="B706" t="s">
        <v>634</v>
      </c>
      <c r="C706" t="s">
        <v>635</v>
      </c>
      <c r="D706" t="s">
        <v>22</v>
      </c>
      <c r="E706" t="s">
        <v>15</v>
      </c>
      <c r="F706" t="s">
        <v>52</v>
      </c>
      <c r="G706" t="s">
        <v>1407</v>
      </c>
      <c r="H706">
        <f>HYPERLINK("https://www.jouwictvacature.nl/solliciteren?job=medior-wordpress-developer-bij-bureau-vet", "Link")</f>
        <v/>
      </c>
      <c r="I706" t="s">
        <v>17</v>
      </c>
      <c r="J706" t="s">
        <v>18</v>
      </c>
      <c r="K706" t="s">
        <v>1408</v>
      </c>
      <c r="L706" t="s">
        <v>1409</v>
      </c>
    </row>
    <row hidden="1" r="707" s="1" spans="1:12">
      <c r="A707" s="4" t="n">
        <v>43129</v>
      </c>
      <c r="B707" t="s">
        <v>317</v>
      </c>
      <c r="C707" t="s">
        <v>45</v>
      </c>
      <c r="D707" t="s">
        <v>14</v>
      </c>
      <c r="E707" t="s">
        <v>15</v>
      </c>
      <c r="F707" t="s">
        <v>52</v>
      </c>
      <c r="G707" t="s">
        <v>653</v>
      </c>
      <c r="H707">
        <f>HYPERLINK("https://www.jouwictvacature.nl/solliciteren?job=medior-javascript-developer-bij-maximumnl", "Link")</f>
        <v/>
      </c>
      <c r="I707" t="s">
        <v>17</v>
      </c>
      <c r="J707" t="s">
        <v>18</v>
      </c>
      <c r="K707" t="s">
        <v>319</v>
      </c>
      <c r="L707" t="s">
        <v>654</v>
      </c>
    </row>
    <row hidden="1" r="708" s="1" spans="1:12">
      <c r="A708" s="4" t="n">
        <v>43132</v>
      </c>
      <c r="B708" t="s">
        <v>423</v>
      </c>
      <c r="C708" t="s">
        <v>406</v>
      </c>
      <c r="D708" t="s">
        <v>245</v>
      </c>
      <c r="E708" t="s">
        <v>15</v>
      </c>
      <c r="F708" t="s">
        <v>16</v>
      </c>
      <c r="G708" t="s">
        <v>1410</v>
      </c>
      <c r="H708">
        <f>HYPERLINK("https://www.jouwictvacature.nl/solliciteren?job=oracle-apex-consultant", "Link")</f>
        <v/>
      </c>
      <c r="I708" t="s">
        <v>17</v>
      </c>
      <c r="J708" t="s">
        <v>18</v>
      </c>
      <c r="K708" t="s">
        <v>1411</v>
      </c>
      <c r="L708" t="s">
        <v>1412</v>
      </c>
    </row>
    <row hidden="1" r="709" s="1" spans="1:12">
      <c r="A709" s="4" t="n">
        <v>43129</v>
      </c>
      <c r="B709" t="s">
        <v>354</v>
      </c>
      <c r="C709" t="s">
        <v>50</v>
      </c>
      <c r="D709" t="s">
        <v>14</v>
      </c>
      <c r="E709" t="s">
        <v>15</v>
      </c>
      <c r="F709" t="s">
        <v>16</v>
      </c>
      <c r="G709" t="s">
        <v>643</v>
      </c>
      <c r="H709">
        <f>HYPERLINK("https://www.jouwictvacature.nl/solliciteren?job=product-developer-symfony--devops-start-up", "Link")</f>
        <v/>
      </c>
      <c r="I709" t="s">
        <v>17</v>
      </c>
      <c r="J709" t="s">
        <v>18</v>
      </c>
      <c r="K709" t="s">
        <v>644</v>
      </c>
      <c r="L709" t="s">
        <v>645</v>
      </c>
    </row>
    <row r="710" spans="1:12">
      <c r="A710" s="4" t="n">
        <v>43129</v>
      </c>
      <c r="B710" t="s">
        <v>1413</v>
      </c>
      <c r="C710" t="s">
        <v>137</v>
      </c>
      <c r="D710" t="s">
        <v>22</v>
      </c>
      <c r="E710" t="s">
        <v>51</v>
      </c>
      <c r="F710" t="s">
        <v>16</v>
      </c>
      <c r="G710" t="s">
        <v>1413</v>
      </c>
      <c r="H710">
        <f>HYPERLINK("https://www.jouwictvacature.nl/solliciteren?job=senior-ai-specialist", "Link")</f>
        <v/>
      </c>
      <c r="I710" t="s">
        <v>17</v>
      </c>
      <c r="J710" t="s">
        <v>18</v>
      </c>
      <c r="K710" t="s">
        <v>1414</v>
      </c>
      <c r="L710" t="s">
        <v>1415</v>
      </c>
    </row>
    <row hidden="1" r="711" s="1" spans="1:12">
      <c r="A711" s="4" t="n">
        <v>43129</v>
      </c>
      <c r="B711" t="s">
        <v>1251</v>
      </c>
      <c r="C711" t="s">
        <v>1252</v>
      </c>
      <c r="D711" t="s">
        <v>14</v>
      </c>
      <c r="E711" t="s">
        <v>15</v>
      </c>
      <c r="F711" t="s">
        <v>16</v>
      </c>
      <c r="G711" t="s">
        <v>1251</v>
      </c>
      <c r="H711">
        <f>HYPERLINK("https://www.jouwictvacature.nl/solliciteren?job=senior-back-end-developer-bij-indi-in-leek", "Link")</f>
        <v/>
      </c>
      <c r="I711" t="s">
        <v>17</v>
      </c>
      <c r="J711" t="s">
        <v>18</v>
      </c>
      <c r="K711" t="s">
        <v>1278</v>
      </c>
      <c r="L711" t="s">
        <v>1416</v>
      </c>
    </row>
    <row hidden="1" r="712" s="1" spans="1:12">
      <c r="A712" s="4" t="n">
        <v>43129</v>
      </c>
      <c r="B712" t="s">
        <v>427</v>
      </c>
      <c r="C712" t="s">
        <v>428</v>
      </c>
      <c r="D712" t="s">
        <v>245</v>
      </c>
      <c r="E712" t="s">
        <v>15</v>
      </c>
      <c r="F712" t="s">
        <v>34</v>
      </c>
      <c r="G712" t="s">
        <v>429</v>
      </c>
      <c r="H712">
        <f>HYPERLINK("https://www.jouwictvacature.nl/solliciteren?job=medior-full-stack-software-engineer--java-angularjs-postgres-eclipse-i", "Link")</f>
        <v/>
      </c>
      <c r="I712" t="s">
        <v>17</v>
      </c>
      <c r="J712" t="s">
        <v>18</v>
      </c>
      <c r="K712" t="s">
        <v>430</v>
      </c>
      <c r="L712" t="s">
        <v>431</v>
      </c>
    </row>
    <row hidden="1" r="713" s="1" spans="1:12">
      <c r="A713" s="4" t="n">
        <v>43130</v>
      </c>
      <c r="B713" t="s">
        <v>432</v>
      </c>
      <c r="C713" t="s">
        <v>433</v>
      </c>
      <c r="D713" t="s">
        <v>245</v>
      </c>
      <c r="E713" t="s">
        <v>15</v>
      </c>
      <c r="F713" t="s">
        <v>52</v>
      </c>
      <c r="G713" t="s">
        <v>648</v>
      </c>
      <c r="H713">
        <f>HYPERLINK("https://www.jouwictvacature.nl/solliciteren?job=gedreven-back-end-developer", "Link")</f>
        <v/>
      </c>
      <c r="I713" t="s">
        <v>17</v>
      </c>
      <c r="J713" t="s">
        <v>18</v>
      </c>
      <c r="K713" t="s">
        <v>435</v>
      </c>
      <c r="L713" t="s">
        <v>649</v>
      </c>
    </row>
    <row hidden="1" r="714" s="1" spans="1:12">
      <c r="A714" s="4" t="n">
        <v>43129</v>
      </c>
      <c r="B714" t="s">
        <v>213</v>
      </c>
      <c r="C714" t="s">
        <v>80</v>
      </c>
      <c r="D714" t="s">
        <v>22</v>
      </c>
      <c r="E714" t="s">
        <v>15</v>
      </c>
      <c r="F714" t="s">
        <v>16</v>
      </c>
      <c r="G714" t="s">
        <v>213</v>
      </c>
      <c r="H714">
        <f>HYPERLINK("https://www.jouwictvacature.nl/solliciteren?job=front-end-developer-bij-growing-minds", "Link")</f>
        <v/>
      </c>
      <c r="I714" t="s">
        <v>17</v>
      </c>
      <c r="J714" t="s">
        <v>18</v>
      </c>
      <c r="K714" t="s">
        <v>216</v>
      </c>
      <c r="L714" t="s">
        <v>1417</v>
      </c>
    </row>
    <row hidden="1" r="715" s="1" spans="1:12">
      <c r="A715" s="4" t="n">
        <v>43129</v>
      </c>
      <c r="B715" t="s">
        <v>829</v>
      </c>
      <c r="C715" t="s">
        <v>279</v>
      </c>
      <c r="D715" t="s">
        <v>22</v>
      </c>
      <c r="E715" t="s">
        <v>15</v>
      </c>
      <c r="F715" t="s">
        <v>28</v>
      </c>
      <c r="G715" t="s">
        <v>830</v>
      </c>
      <c r="H715">
        <f>HYPERLINK("https://www.jouwictvacature.nl/solliciteren?job=senior-front-end-ontwikkelaar-bij-bigbridge", "Link")</f>
        <v/>
      </c>
      <c r="I715" t="s">
        <v>17</v>
      </c>
      <c r="J715" t="s">
        <v>18</v>
      </c>
      <c r="K715" t="s">
        <v>831</v>
      </c>
      <c r="L715" t="s">
        <v>832</v>
      </c>
    </row>
    <row hidden="1" r="716" s="1" spans="1:12">
      <c r="A716" s="4" t="n">
        <v>43129</v>
      </c>
      <c r="B716" t="s">
        <v>142</v>
      </c>
      <c r="C716" t="s">
        <v>143</v>
      </c>
      <c r="D716" t="s">
        <v>22</v>
      </c>
      <c r="E716" t="s">
        <v>15</v>
      </c>
      <c r="F716" t="s">
        <v>28</v>
      </c>
      <c r="G716" t="s">
        <v>321</v>
      </c>
      <c r="H716">
        <f>HYPERLINK("https://www.jouwictvacature.nl/solliciteren?job=senior-javascript-developer-bij-coas", "Link")</f>
        <v/>
      </c>
      <c r="I716" t="s">
        <v>17</v>
      </c>
      <c r="J716" t="s">
        <v>18</v>
      </c>
      <c r="K716" t="s">
        <v>145</v>
      </c>
      <c r="L716" t="s">
        <v>1098</v>
      </c>
    </row>
    <row hidden="1" r="717" s="1" spans="1:12">
      <c r="A717" s="4" t="n">
        <v>43129</v>
      </c>
      <c r="B717" t="s">
        <v>437</v>
      </c>
      <c r="C717" t="s">
        <v>438</v>
      </c>
      <c r="D717" t="s">
        <v>245</v>
      </c>
      <c r="E717" t="s">
        <v>15</v>
      </c>
      <c r="F717" t="s">
        <v>16</v>
      </c>
      <c r="G717" t="s">
        <v>1229</v>
      </c>
      <c r="H717">
        <f>HYPERLINK("https://www.jouwictvacature.nl/solliciteren?job=architect-bij-rensa", "Link")</f>
        <v/>
      </c>
      <c r="I717" t="s">
        <v>17</v>
      </c>
      <c r="J717" t="s">
        <v>18</v>
      </c>
      <c r="K717" t="s">
        <v>440</v>
      </c>
      <c r="L717" t="s">
        <v>1230</v>
      </c>
    </row>
    <row hidden="1" r="718" s="1" spans="1:12">
      <c r="A718" s="4" t="n">
        <v>43129</v>
      </c>
      <c r="B718" t="s">
        <v>26</v>
      </c>
      <c r="C718" t="s">
        <v>660</v>
      </c>
      <c r="D718" t="s">
        <v>22</v>
      </c>
      <c r="E718" t="s">
        <v>15</v>
      </c>
      <c r="F718" t="s">
        <v>28</v>
      </c>
      <c r="G718" t="s">
        <v>1418</v>
      </c>
      <c r="H718">
        <f>HYPERLINK("https://www.jouwictvacature.nl/solliciteren?job=senior-javascript-developer-bij-aan-zee-communicatie", "Link")</f>
        <v/>
      </c>
      <c r="I718" t="s">
        <v>17</v>
      </c>
      <c r="J718" t="s">
        <v>18</v>
      </c>
      <c r="K718" t="s">
        <v>662</v>
      </c>
      <c r="L718" t="s">
        <v>1419</v>
      </c>
    </row>
    <row r="719" spans="1:12">
      <c r="A719" s="4" t="n">
        <v>43129</v>
      </c>
      <c r="B719" t="s">
        <v>668</v>
      </c>
      <c r="C719" t="s">
        <v>522</v>
      </c>
      <c r="D719" t="s">
        <v>22</v>
      </c>
      <c r="E719" t="s">
        <v>51</v>
      </c>
      <c r="F719" t="s">
        <v>28</v>
      </c>
      <c r="G719" t="s">
        <v>1420</v>
      </c>
      <c r="H719">
        <f>HYPERLINK("https://www.jouwictvacature.nl/solliciteren?job=seniorfront-end-developer-at-bizzdesign-bij-bizzdesign", "Link")</f>
        <v/>
      </c>
      <c r="I719" t="s">
        <v>17</v>
      </c>
      <c r="J719" t="s">
        <v>18</v>
      </c>
      <c r="K719" t="s">
        <v>1259</v>
      </c>
      <c r="L719" t="s">
        <v>1421</v>
      </c>
    </row>
    <row hidden="1" r="720" s="1" spans="1:12">
      <c r="A720" s="4" t="n">
        <v>43129</v>
      </c>
      <c r="B720" t="s">
        <v>833</v>
      </c>
      <c r="C720" t="s">
        <v>834</v>
      </c>
      <c r="D720" t="s">
        <v>22</v>
      </c>
      <c r="E720" t="s">
        <v>15</v>
      </c>
      <c r="F720" t="s">
        <v>28</v>
      </c>
      <c r="G720" t="s">
        <v>1422</v>
      </c>
      <c r="H720">
        <f>HYPERLINK("https://www.jouwictvacature.nl/solliciteren?job=senior-java-developer-8", "Link")</f>
        <v/>
      </c>
      <c r="I720" t="s">
        <v>17</v>
      </c>
      <c r="J720" t="s">
        <v>18</v>
      </c>
      <c r="K720" t="s">
        <v>1423</v>
      </c>
      <c r="L720" t="s">
        <v>1424</v>
      </c>
    </row>
    <row hidden="1" r="721" s="1" spans="1:12">
      <c r="A721" s="4" t="n">
        <v>43129</v>
      </c>
      <c r="B721" t="s">
        <v>115</v>
      </c>
      <c r="C721" t="s">
        <v>62</v>
      </c>
      <c r="D721" t="s">
        <v>22</v>
      </c>
      <c r="E721" t="s">
        <v>15</v>
      </c>
      <c r="F721" t="s">
        <v>16</v>
      </c>
      <c r="G721" t="s">
        <v>1121</v>
      </c>
      <c r="H721">
        <f>HYPERLINK("https://www.jouwictvacature.nl/solliciteren?job=software-manager-bij-bottomline-in-utrecht", "Link")</f>
        <v/>
      </c>
      <c r="I721" t="s">
        <v>17</v>
      </c>
      <c r="J721" t="s">
        <v>18</v>
      </c>
      <c r="K721" t="s">
        <v>970</v>
      </c>
      <c r="L721" t="s">
        <v>1122</v>
      </c>
    </row>
    <row hidden="1" r="722" s="1" spans="1:12">
      <c r="A722" s="4" t="n">
        <v>43132</v>
      </c>
      <c r="B722" t="s">
        <v>437</v>
      </c>
      <c r="C722" t="s">
        <v>438</v>
      </c>
      <c r="D722" t="s">
        <v>245</v>
      </c>
      <c r="E722" t="s">
        <v>15</v>
      </c>
      <c r="F722" t="s">
        <v>16</v>
      </c>
      <c r="G722" t="s">
        <v>1229</v>
      </c>
      <c r="H722">
        <f>HYPERLINK("https://www.jouwictvacature.nl/solliciteren?job=architect-bij-rensa", "Link")</f>
        <v/>
      </c>
      <c r="I722" t="s">
        <v>17</v>
      </c>
      <c r="J722" t="s">
        <v>18</v>
      </c>
      <c r="K722" t="s">
        <v>440</v>
      </c>
      <c r="L722" t="s">
        <v>1230</v>
      </c>
    </row>
    <row hidden="1" r="723" s="1" spans="1:12">
      <c r="A723" s="4" t="n">
        <v>43129</v>
      </c>
      <c r="B723" t="s">
        <v>71</v>
      </c>
      <c r="C723" t="s">
        <v>72</v>
      </c>
      <c r="D723" t="s">
        <v>22</v>
      </c>
      <c r="E723" t="s">
        <v>15</v>
      </c>
      <c r="F723" t="s">
        <v>34</v>
      </c>
      <c r="G723" t="s">
        <v>1425</v>
      </c>
      <c r="H723">
        <f>HYPERLINK("https://www.jouwictvacature.nl/solliciteren?job=junior-agile-test-specialist-bij-bartosz-bij-bartosz-amsterdam-2", "Link")</f>
        <v/>
      </c>
      <c r="I723" t="s">
        <v>17</v>
      </c>
      <c r="J723" t="s">
        <v>18</v>
      </c>
      <c r="K723" t="s">
        <v>91</v>
      </c>
      <c r="L723" t="s">
        <v>1426</v>
      </c>
    </row>
    <row hidden="1" r="724" s="1" spans="1:12">
      <c r="A724" s="4" t="n">
        <v>43129</v>
      </c>
      <c r="B724" t="s">
        <v>237</v>
      </c>
      <c r="C724" t="s">
        <v>93</v>
      </c>
      <c r="D724" t="s">
        <v>22</v>
      </c>
      <c r="E724" t="s">
        <v>15</v>
      </c>
      <c r="F724" t="s">
        <v>28</v>
      </c>
      <c r="G724" t="s">
        <v>1337</v>
      </c>
      <c r="H724">
        <f>HYPERLINK("https://www.jouwictvacature.nl/solliciteren?job=senior-java-developer-bij-hybrit-2", "Link")</f>
        <v/>
      </c>
      <c r="I724" t="s">
        <v>17</v>
      </c>
      <c r="J724" t="s">
        <v>18</v>
      </c>
      <c r="K724" t="s">
        <v>1189</v>
      </c>
      <c r="L724" t="s">
        <v>1338</v>
      </c>
    </row>
    <row hidden="1" r="725" s="1" spans="1:12">
      <c r="A725" s="4" t="n">
        <v>43129</v>
      </c>
      <c r="B725" t="s">
        <v>156</v>
      </c>
      <c r="C725" t="s">
        <v>157</v>
      </c>
      <c r="D725" t="s">
        <v>22</v>
      </c>
      <c r="E725" t="s">
        <v>15</v>
      </c>
      <c r="F725" t="s">
        <v>52</v>
      </c>
      <c r="G725" t="s">
        <v>1427</v>
      </c>
      <c r="H725">
        <f>HYPERLINK("https://www.jouwictvacature.nl/solliciteren?job=senior-java-developer-bij-devoteam-2", "Link")</f>
        <v/>
      </c>
      <c r="I725" t="s">
        <v>17</v>
      </c>
      <c r="J725" t="s">
        <v>18</v>
      </c>
      <c r="K725" t="s">
        <v>159</v>
      </c>
      <c r="L725" t="s">
        <v>1428</v>
      </c>
    </row>
    <row hidden="1" r="726" s="1" spans="1:12">
      <c r="A726" s="4" t="n">
        <v>43129</v>
      </c>
      <c r="B726" t="s">
        <v>1377</v>
      </c>
      <c r="C726" t="s">
        <v>1378</v>
      </c>
      <c r="D726" t="s">
        <v>22</v>
      </c>
      <c r="E726" t="s">
        <v>15</v>
      </c>
      <c r="F726" t="s">
        <v>34</v>
      </c>
      <c r="G726" t="s">
        <v>1429</v>
      </c>
      <c r="H726">
        <f>HYPERLINK("https://www.jouwictvacature.nl/solliciteren?job=junior-java-developer-bij-gappless-te-halfweg-bij-gappless", "Link")</f>
        <v/>
      </c>
      <c r="I726" t="s">
        <v>17</v>
      </c>
      <c r="J726" t="s">
        <v>18</v>
      </c>
      <c r="K726" t="s">
        <v>1380</v>
      </c>
      <c r="L726" t="s">
        <v>1430</v>
      </c>
    </row>
    <row r="727" spans="1:12">
      <c r="A727" s="4" t="n">
        <v>43129</v>
      </c>
      <c r="B727" t="s">
        <v>657</v>
      </c>
      <c r="C727" t="s">
        <v>62</v>
      </c>
      <c r="D727" t="s">
        <v>245</v>
      </c>
      <c r="E727" t="s">
        <v>51</v>
      </c>
      <c r="F727" t="s">
        <v>16</v>
      </c>
      <c r="G727" t="s">
        <v>657</v>
      </c>
      <c r="H727">
        <f>HYPERLINK("https://www.jouwictvacature.nl/solliciteren?job=junior-ux-developer-bij-rentman-bij-rentman", "Link")</f>
        <v/>
      </c>
      <c r="I727" t="s">
        <v>17</v>
      </c>
      <c r="J727" t="s">
        <v>18</v>
      </c>
      <c r="K727" t="s">
        <v>1431</v>
      </c>
      <c r="L727" t="s">
        <v>1432</v>
      </c>
    </row>
    <row hidden="1" r="728" s="1" spans="1:12">
      <c r="A728" s="4" t="n">
        <v>43129</v>
      </c>
      <c r="B728" t="s">
        <v>1433</v>
      </c>
      <c r="C728" t="s">
        <v>726</v>
      </c>
      <c r="D728" t="s">
        <v>22</v>
      </c>
      <c r="E728" t="s">
        <v>15</v>
      </c>
      <c r="F728" t="s">
        <v>16</v>
      </c>
      <c r="G728" t="s">
        <v>1434</v>
      </c>
      <c r="H728">
        <f>HYPERLINK("https://www.jouwictvacature.nl/solliciteren?job=apiesb-consultant", "Link")</f>
        <v/>
      </c>
      <c r="I728" t="s">
        <v>17</v>
      </c>
      <c r="J728" t="s">
        <v>18</v>
      </c>
      <c r="K728" t="s">
        <v>1435</v>
      </c>
      <c r="L728" t="s">
        <v>1436</v>
      </c>
    </row>
    <row hidden="1" r="729" s="1" spans="1:12">
      <c r="A729" s="4" t="n">
        <v>43129</v>
      </c>
      <c r="B729" t="s">
        <v>174</v>
      </c>
      <c r="C729" t="s">
        <v>62</v>
      </c>
      <c r="D729" t="s">
        <v>22</v>
      </c>
      <c r="E729" t="s">
        <v>15</v>
      </c>
      <c r="F729" t="s">
        <v>52</v>
      </c>
      <c r="G729" t="s">
        <v>178</v>
      </c>
      <c r="H729">
        <f>HYPERLINK("https://www.jouwictvacature.nl/solliciteren?job=medior-java-backend-developer-bij-dpa-geos", "Link")</f>
        <v/>
      </c>
      <c r="I729" t="s">
        <v>17</v>
      </c>
      <c r="J729" t="s">
        <v>18</v>
      </c>
      <c r="K729" t="s">
        <v>179</v>
      </c>
      <c r="L729" t="s">
        <v>1437</v>
      </c>
    </row>
    <row hidden="1" r="730" s="1" spans="1:12">
      <c r="A730" s="4" t="n">
        <v>43129</v>
      </c>
      <c r="B730" t="s">
        <v>49</v>
      </c>
      <c r="C730" t="s">
        <v>50</v>
      </c>
      <c r="D730" t="s">
        <v>22</v>
      </c>
      <c r="E730" t="s">
        <v>15</v>
      </c>
      <c r="F730" t="s">
        <v>34</v>
      </c>
      <c r="G730" t="s">
        <v>1438</v>
      </c>
      <c r="H730">
        <f>HYPERLINK("https://www.jouwictvacature.nl/solliciteren?job=allround-developer-4", "Link")</f>
        <v/>
      </c>
      <c r="I730" t="s">
        <v>17</v>
      </c>
      <c r="J730" t="s">
        <v>18</v>
      </c>
      <c r="K730" t="s">
        <v>1247</v>
      </c>
      <c r="L730" t="s">
        <v>1439</v>
      </c>
    </row>
    <row hidden="1" r="731" s="1" spans="1:12">
      <c r="A731" s="4" t="n">
        <v>43129</v>
      </c>
      <c r="B731" t="s">
        <v>1174</v>
      </c>
      <c r="C731" t="s">
        <v>1175</v>
      </c>
      <c r="D731" t="s">
        <v>22</v>
      </c>
      <c r="E731" t="s">
        <v>15</v>
      </c>
      <c r="F731" t="s">
        <v>34</v>
      </c>
      <c r="G731" t="s">
        <v>1202</v>
      </c>
      <c r="H731">
        <f>HYPERLINK("https://www.jouwictvacature.nl/solliciteren?job=junior-c-developer-met-affiniteit-voor-blockchain-machine-learning-en-", "Link")</f>
        <v/>
      </c>
      <c r="I731" t="s">
        <v>17</v>
      </c>
      <c r="J731" t="s">
        <v>18</v>
      </c>
      <c r="K731" t="s">
        <v>1177</v>
      </c>
      <c r="L731" t="s">
        <v>1203</v>
      </c>
    </row>
    <row r="732" spans="1:12">
      <c r="A732" s="4" t="n">
        <v>43130</v>
      </c>
      <c r="B732" t="s">
        <v>657</v>
      </c>
      <c r="C732" t="s">
        <v>62</v>
      </c>
      <c r="D732" t="s">
        <v>245</v>
      </c>
      <c r="E732" t="s">
        <v>51</v>
      </c>
      <c r="F732" t="s">
        <v>16</v>
      </c>
      <c r="G732" t="s">
        <v>657</v>
      </c>
      <c r="H732">
        <f>HYPERLINK("https://www.jouwictvacature.nl/solliciteren?job=ux-developer-bij-rentman", "Link")</f>
        <v/>
      </c>
      <c r="I732" t="s">
        <v>17</v>
      </c>
      <c r="J732" t="s">
        <v>18</v>
      </c>
      <c r="K732" t="s">
        <v>1431</v>
      </c>
      <c r="L732" t="s">
        <v>1440</v>
      </c>
    </row>
    <row r="733" spans="1:12">
      <c r="A733" s="4" t="n">
        <v>43130</v>
      </c>
      <c r="B733" t="s">
        <v>657</v>
      </c>
      <c r="C733" t="s">
        <v>62</v>
      </c>
      <c r="D733" t="s">
        <v>245</v>
      </c>
      <c r="E733" t="s">
        <v>51</v>
      </c>
      <c r="F733" t="s">
        <v>16</v>
      </c>
      <c r="G733" t="s">
        <v>657</v>
      </c>
      <c r="H733">
        <f>HYPERLINK("https://www.jouwictvacature.nl/solliciteren?job=junior-ux-developer-bij-rentman-bij-rentman", "Link")</f>
        <v/>
      </c>
      <c r="I733" t="s">
        <v>17</v>
      </c>
      <c r="J733" t="s">
        <v>18</v>
      </c>
      <c r="K733" t="s">
        <v>1431</v>
      </c>
      <c r="L733" t="s">
        <v>1432</v>
      </c>
    </row>
    <row hidden="1" r="734" s="1" spans="1:12">
      <c r="A734" s="4" t="n">
        <v>43129</v>
      </c>
      <c r="B734" t="s">
        <v>104</v>
      </c>
      <c r="C734" t="s">
        <v>93</v>
      </c>
      <c r="D734" t="s">
        <v>22</v>
      </c>
      <c r="E734" t="s">
        <v>15</v>
      </c>
      <c r="F734" t="s">
        <v>16</v>
      </c>
      <c r="G734" t="s">
        <v>104</v>
      </c>
      <c r="H734">
        <f>HYPERLINK("https://www.jouwictvacature.nl/solliciteren?job=junior-softwareontwikkelaar-bij-betabit-regio-rotterdam", "Link")</f>
        <v/>
      </c>
      <c r="I734" t="s">
        <v>17</v>
      </c>
      <c r="J734" t="s">
        <v>18</v>
      </c>
      <c r="K734" t="s">
        <v>1349</v>
      </c>
      <c r="L734" t="s">
        <v>1350</v>
      </c>
    </row>
    <row hidden="1" r="735" s="1" spans="1:12">
      <c r="A735" s="4" t="n">
        <v>43129</v>
      </c>
      <c r="B735" t="s">
        <v>12</v>
      </c>
      <c r="C735" t="s">
        <v>21</v>
      </c>
      <c r="D735" t="s">
        <v>22</v>
      </c>
      <c r="E735" t="s">
        <v>15</v>
      </c>
      <c r="F735" t="s">
        <v>16</v>
      </c>
      <c r="G735" t="s">
        <v>12</v>
      </c>
      <c r="H735">
        <f>HYPERLINK("https://www.jouwictvacature.nl/solliciteren?job=medior-net-ontwikkelaar-bij-4dotnet-2", "Link")</f>
        <v/>
      </c>
      <c r="I735" t="s">
        <v>17</v>
      </c>
      <c r="J735" t="s">
        <v>18</v>
      </c>
      <c r="K735" t="s">
        <v>23</v>
      </c>
      <c r="L735" t="s">
        <v>24</v>
      </c>
    </row>
    <row hidden="1" r="736" s="1" spans="1:12">
      <c r="A736" s="4" t="n">
        <v>43129</v>
      </c>
      <c r="B736" t="s">
        <v>1174</v>
      </c>
      <c r="C736" t="s">
        <v>1175</v>
      </c>
      <c r="D736" t="s">
        <v>22</v>
      </c>
      <c r="E736" t="s">
        <v>15</v>
      </c>
      <c r="F736" t="s">
        <v>34</v>
      </c>
      <c r="G736" t="s">
        <v>1200</v>
      </c>
      <c r="H736">
        <f>HYPERLINK("https://www.jouwictvacature.nl/solliciteren?job=junior-c-developer-bij-everbinding-in-woerden", "Link")</f>
        <v/>
      </c>
      <c r="I736" t="s">
        <v>17</v>
      </c>
      <c r="J736" t="s">
        <v>18</v>
      </c>
      <c r="K736" t="s">
        <v>1177</v>
      </c>
      <c r="L736" t="s">
        <v>1201</v>
      </c>
    </row>
    <row hidden="1" r="737" s="1" spans="1:12">
      <c r="A737" s="4" t="n">
        <v>43129</v>
      </c>
      <c r="B737" t="s">
        <v>1174</v>
      </c>
      <c r="C737" t="s">
        <v>1175</v>
      </c>
      <c r="D737" t="s">
        <v>22</v>
      </c>
      <c r="E737" t="s">
        <v>15</v>
      </c>
      <c r="F737" t="s">
        <v>16</v>
      </c>
      <c r="G737" t="s">
        <v>1395</v>
      </c>
      <c r="H737">
        <f>HYPERLINK("https://www.jouwictvacature.nl/solliciteren?job=wij-zijn-op-zoek-naar-een-startende-c-developer-in-woerden", "Link")</f>
        <v/>
      </c>
      <c r="I737" t="s">
        <v>17</v>
      </c>
      <c r="J737" t="s">
        <v>18</v>
      </c>
      <c r="K737" t="s">
        <v>1177</v>
      </c>
      <c r="L737" t="s">
        <v>1396</v>
      </c>
    </row>
    <row hidden="1" r="738" s="1" spans="1:12">
      <c r="A738" s="4" t="n">
        <v>43129</v>
      </c>
      <c r="B738" t="s">
        <v>346</v>
      </c>
      <c r="C738" t="s">
        <v>80</v>
      </c>
      <c r="D738" t="s">
        <v>14</v>
      </c>
      <c r="E738" t="s">
        <v>15</v>
      </c>
      <c r="F738" t="s">
        <v>52</v>
      </c>
      <c r="G738" t="s">
        <v>1441</v>
      </c>
      <c r="H738">
        <f>HYPERLINK("https://www.jouwictvacature.nl/solliciteren?job=medior-c-net-developer-bij-mwm2", "Link")</f>
        <v/>
      </c>
      <c r="I738" t="s">
        <v>17</v>
      </c>
      <c r="J738" t="s">
        <v>18</v>
      </c>
      <c r="K738" t="s">
        <v>348</v>
      </c>
      <c r="L738" t="s">
        <v>1442</v>
      </c>
    </row>
    <row r="739" spans="1:12">
      <c r="A739" s="4" t="n">
        <v>43129</v>
      </c>
      <c r="B739" t="s">
        <v>1000</v>
      </c>
      <c r="C739" t="s">
        <v>1001</v>
      </c>
      <c r="D739" t="s">
        <v>22</v>
      </c>
      <c r="E739" t="s">
        <v>51</v>
      </c>
      <c r="F739" t="s">
        <v>16</v>
      </c>
      <c r="G739" t="s">
        <v>1443</v>
      </c>
      <c r="H739">
        <f>HYPERLINK("https://www.jouwictvacature.nl/solliciteren?job=back-end-software-developer", "Link")</f>
        <v/>
      </c>
      <c r="I739" t="s">
        <v>17</v>
      </c>
      <c r="J739" t="s">
        <v>18</v>
      </c>
      <c r="K739" t="s">
        <v>1444</v>
      </c>
      <c r="L739" t="s">
        <v>1445</v>
      </c>
    </row>
    <row hidden="1" r="740" s="1" spans="1:12">
      <c r="A740" s="4" t="n">
        <v>43129</v>
      </c>
      <c r="B740" t="s">
        <v>1446</v>
      </c>
      <c r="C740" t="s">
        <v>80</v>
      </c>
      <c r="D740" t="s">
        <v>22</v>
      </c>
      <c r="E740" t="s">
        <v>15</v>
      </c>
      <c r="F740" t="s">
        <v>16</v>
      </c>
      <c r="G740" t="s">
        <v>1447</v>
      </c>
      <c r="H740">
        <f>HYPERLINK("https://www.jouwictvacature.nl/solliciteren?job=web-developer-bij-comrads-solutions-2", "Link")</f>
        <v/>
      </c>
      <c r="I740" t="s">
        <v>17</v>
      </c>
      <c r="J740" t="s">
        <v>18</v>
      </c>
      <c r="K740" t="s">
        <v>1448</v>
      </c>
      <c r="L740" t="s">
        <v>1449</v>
      </c>
    </row>
    <row hidden="1" r="741" s="1" spans="1:12">
      <c r="A741" s="4" t="n">
        <v>43130</v>
      </c>
      <c r="B741" t="s">
        <v>865</v>
      </c>
      <c r="C741" t="s">
        <v>866</v>
      </c>
      <c r="D741" t="s">
        <v>245</v>
      </c>
      <c r="E741" t="s">
        <v>15</v>
      </c>
      <c r="F741" t="s">
        <v>16</v>
      </c>
      <c r="G741" t="s">
        <v>865</v>
      </c>
      <c r="H741">
        <f>HYPERLINK("https://www.jouwictvacature.nl/solliciteren?job=vacature-consultancy-trainee-erp", "Link")</f>
        <v/>
      </c>
      <c r="I741" t="s">
        <v>17</v>
      </c>
      <c r="J741" t="s">
        <v>18</v>
      </c>
      <c r="K741" t="s">
        <v>1075</v>
      </c>
      <c r="L741" t="s">
        <v>1076</v>
      </c>
    </row>
    <row hidden="1" r="742" s="1" spans="1:12">
      <c r="A742" s="4" t="n">
        <v>43130</v>
      </c>
      <c r="B742" t="s">
        <v>865</v>
      </c>
      <c r="C742" t="s">
        <v>866</v>
      </c>
      <c r="D742" t="s">
        <v>245</v>
      </c>
      <c r="E742" t="s">
        <v>15</v>
      </c>
      <c r="F742" t="s">
        <v>16</v>
      </c>
      <c r="G742" t="s">
        <v>865</v>
      </c>
      <c r="H742">
        <f>HYPERLINK("https://www.jouwictvacature.nl/solliciteren?job=vacature-consultancy-trainee-erp", "Link")</f>
        <v/>
      </c>
      <c r="I742" t="s">
        <v>17</v>
      </c>
      <c r="J742" t="s">
        <v>18</v>
      </c>
      <c r="K742" t="s">
        <v>1075</v>
      </c>
      <c r="L742" t="s">
        <v>1076</v>
      </c>
    </row>
    <row hidden="1" r="743" s="1" spans="1:12">
      <c r="A743" s="4" t="n">
        <v>43129</v>
      </c>
      <c r="B743" t="s">
        <v>354</v>
      </c>
      <c r="C743" t="s">
        <v>50</v>
      </c>
      <c r="D743" t="s">
        <v>14</v>
      </c>
      <c r="E743" t="s">
        <v>15</v>
      </c>
      <c r="F743" t="s">
        <v>28</v>
      </c>
      <c r="G743" t="s">
        <v>1450</v>
      </c>
      <c r="H743">
        <f>HYPERLINK("https://www.jouwictvacature.nl/solliciteren?job=senior-drupal-developer-bij-netvlies", "Link")</f>
        <v/>
      </c>
      <c r="I743" t="s">
        <v>17</v>
      </c>
      <c r="J743" t="s">
        <v>18</v>
      </c>
      <c r="K743" t="s">
        <v>1451</v>
      </c>
      <c r="L743" t="s">
        <v>1452</v>
      </c>
    </row>
    <row r="744" spans="1:12">
      <c r="A744" s="4" t="n">
        <v>43129</v>
      </c>
      <c r="B744" t="s">
        <v>889</v>
      </c>
      <c r="C744" t="s">
        <v>80</v>
      </c>
      <c r="D744" t="s">
        <v>14</v>
      </c>
      <c r="E744" t="s">
        <v>51</v>
      </c>
      <c r="F744" t="s">
        <v>34</v>
      </c>
      <c r="G744" t="s">
        <v>890</v>
      </c>
      <c r="H744">
        <f>HYPERLINK("https://www.jouwictvacature.nl/solliciteren?job=juniorphp-developer-bij-lightspeed-bij-lightspeed", "Link")</f>
        <v/>
      </c>
      <c r="I744" t="s">
        <v>17</v>
      </c>
      <c r="J744" t="s">
        <v>18</v>
      </c>
      <c r="K744" t="s">
        <v>891</v>
      </c>
      <c r="L744" t="s">
        <v>892</v>
      </c>
    </row>
    <row hidden="1" r="745" s="1" spans="1:12">
      <c r="A745" s="4" t="n">
        <v>43129</v>
      </c>
      <c r="B745" t="s">
        <v>795</v>
      </c>
      <c r="C745" t="s">
        <v>796</v>
      </c>
      <c r="D745" t="s">
        <v>14</v>
      </c>
      <c r="E745" t="s">
        <v>15</v>
      </c>
      <c r="F745" t="s">
        <v>28</v>
      </c>
      <c r="G745" t="s">
        <v>893</v>
      </c>
      <c r="H745">
        <f>HYPERLINK("https://www.jouwictvacature.nl/solliciteren?job=senior-webdeveloper--html-css-jquery-php-oop-mysql-wordpress-bij-csorb", "Link")</f>
        <v/>
      </c>
      <c r="I745" t="s">
        <v>17</v>
      </c>
      <c r="J745" t="s">
        <v>18</v>
      </c>
      <c r="K745" t="s">
        <v>798</v>
      </c>
      <c r="L745" t="s">
        <v>894</v>
      </c>
    </row>
    <row hidden="1" r="746" s="1" spans="1:12">
      <c r="A746" s="4" t="n">
        <v>43132</v>
      </c>
      <c r="B746" t="s">
        <v>865</v>
      </c>
      <c r="C746" t="s">
        <v>866</v>
      </c>
      <c r="D746" t="s">
        <v>245</v>
      </c>
      <c r="E746" t="s">
        <v>15</v>
      </c>
      <c r="F746" t="s">
        <v>16</v>
      </c>
      <c r="G746" t="s">
        <v>865</v>
      </c>
      <c r="H746">
        <f>HYPERLINK("https://www.jouwictvacature.nl/solliciteren?job=vacature-consultancy-trainee-erp", "Link")</f>
        <v/>
      </c>
      <c r="I746" t="s">
        <v>17</v>
      </c>
      <c r="J746" t="s">
        <v>18</v>
      </c>
      <c r="K746" t="s">
        <v>1075</v>
      </c>
      <c r="L746" t="s">
        <v>1076</v>
      </c>
    </row>
    <row hidden="1" r="747" s="1" spans="1:12">
      <c r="A747" s="4" t="n">
        <v>43129</v>
      </c>
      <c r="B747" t="s">
        <v>354</v>
      </c>
      <c r="C747" t="s">
        <v>50</v>
      </c>
      <c r="D747" t="s">
        <v>14</v>
      </c>
      <c r="E747" t="s">
        <v>15</v>
      </c>
      <c r="F747" t="s">
        <v>16</v>
      </c>
      <c r="G747" t="s">
        <v>939</v>
      </c>
      <c r="H747">
        <f>HYPERLINK("https://www.jouwictvacature.nl/solliciteren?job=-back-end-wordpress-developer", "Link")</f>
        <v/>
      </c>
      <c r="I747" t="s">
        <v>17</v>
      </c>
      <c r="J747" t="s">
        <v>18</v>
      </c>
      <c r="K747" t="s">
        <v>940</v>
      </c>
      <c r="L747" t="s">
        <v>941</v>
      </c>
    </row>
    <row hidden="1" r="748" s="1" spans="1:12">
      <c r="A748" s="4" t="n">
        <v>43129</v>
      </c>
      <c r="B748" t="s">
        <v>719</v>
      </c>
      <c r="C748" t="s">
        <v>93</v>
      </c>
      <c r="D748" t="s">
        <v>14</v>
      </c>
      <c r="E748" t="s">
        <v>15</v>
      </c>
      <c r="F748" t="s">
        <v>52</v>
      </c>
      <c r="G748" t="s">
        <v>1080</v>
      </c>
      <c r="H748">
        <f>HYPERLINK("https://www.jouwictvacature.nl/solliciteren?job=medior-laravel-back-end-developer-bij-23g", "Link")</f>
        <v/>
      </c>
      <c r="I748" t="s">
        <v>17</v>
      </c>
      <c r="J748" t="s">
        <v>18</v>
      </c>
      <c r="K748" t="s">
        <v>721</v>
      </c>
      <c r="L748" t="s">
        <v>1081</v>
      </c>
    </row>
    <row hidden="1" r="749" s="1" spans="1:12">
      <c r="A749" s="4" t="n">
        <v>43129</v>
      </c>
      <c r="B749" t="s">
        <v>634</v>
      </c>
      <c r="C749" t="s">
        <v>635</v>
      </c>
      <c r="D749" t="s">
        <v>22</v>
      </c>
      <c r="E749" t="s">
        <v>15</v>
      </c>
      <c r="F749" t="s">
        <v>52</v>
      </c>
      <c r="G749" t="s">
        <v>1407</v>
      </c>
      <c r="H749">
        <f>HYPERLINK("https://www.jouwictvacature.nl/solliciteren?job=medior-wordpress-developer-bij-bureau-vet", "Link")</f>
        <v/>
      </c>
      <c r="I749" t="s">
        <v>17</v>
      </c>
      <c r="J749" t="s">
        <v>18</v>
      </c>
      <c r="K749" t="s">
        <v>1408</v>
      </c>
      <c r="L749" t="s">
        <v>1409</v>
      </c>
    </row>
    <row hidden="1" r="750" s="1" spans="1:12">
      <c r="A750" s="4" t="n">
        <v>43129</v>
      </c>
      <c r="B750" t="s">
        <v>843</v>
      </c>
      <c r="C750" t="s">
        <v>45</v>
      </c>
      <c r="D750" t="s">
        <v>245</v>
      </c>
      <c r="E750" t="s">
        <v>15</v>
      </c>
      <c r="F750" t="s">
        <v>52</v>
      </c>
      <c r="G750" t="s">
        <v>1154</v>
      </c>
      <c r="H750">
        <f>HYPERLINK("https://www.jouwictvacature.nl/solliciteren?job=medior-javascript-developer-bij-rivium-business-solutions", "Link")</f>
        <v/>
      </c>
      <c r="I750" t="s">
        <v>17</v>
      </c>
      <c r="J750" t="s">
        <v>18</v>
      </c>
      <c r="K750" t="s">
        <v>1319</v>
      </c>
      <c r="L750" t="s">
        <v>1370</v>
      </c>
    </row>
    <row hidden="1" r="751" s="1" spans="1:12">
      <c r="A751" s="4" t="n">
        <v>43129</v>
      </c>
      <c r="B751" t="s">
        <v>753</v>
      </c>
      <c r="C751" t="s">
        <v>309</v>
      </c>
      <c r="D751" t="s">
        <v>22</v>
      </c>
      <c r="E751" t="s">
        <v>15</v>
      </c>
      <c r="F751" t="s">
        <v>16</v>
      </c>
      <c r="G751" t="s">
        <v>753</v>
      </c>
      <c r="H751">
        <f>HYPERLINK("https://www.jouwictvacature.nl/solliciteren?job=junior-full-stack-developer-bij-creabea", "Link")</f>
        <v/>
      </c>
      <c r="I751" t="s">
        <v>17</v>
      </c>
      <c r="J751" t="s">
        <v>18</v>
      </c>
      <c r="K751" t="s">
        <v>1255</v>
      </c>
      <c r="L751" t="s">
        <v>1365</v>
      </c>
    </row>
    <row r="752" spans="1:12">
      <c r="A752" s="4" t="n">
        <v>43129</v>
      </c>
      <c r="B752" t="s">
        <v>963</v>
      </c>
      <c r="C752" t="s">
        <v>38</v>
      </c>
      <c r="D752" t="s">
        <v>14</v>
      </c>
      <c r="E752" t="s">
        <v>51</v>
      </c>
      <c r="F752" t="s">
        <v>28</v>
      </c>
      <c r="G752" t="s">
        <v>1048</v>
      </c>
      <c r="H752">
        <f>HYPERLINK("https://www.jouwictvacature.nl/solliciteren?job=senior-software-engineer-focus-on-front-end", "Link")</f>
        <v/>
      </c>
      <c r="I752" t="s">
        <v>17</v>
      </c>
      <c r="J752" t="s">
        <v>18</v>
      </c>
      <c r="K752" t="s">
        <v>965</v>
      </c>
      <c r="L752" t="s">
        <v>1049</v>
      </c>
    </row>
    <row r="753" spans="1:12">
      <c r="A753" s="4" t="n">
        <v>43129</v>
      </c>
      <c r="B753" t="s">
        <v>1453</v>
      </c>
      <c r="C753" t="s">
        <v>93</v>
      </c>
      <c r="D753" t="s">
        <v>14</v>
      </c>
      <c r="E753" t="s">
        <v>51</v>
      </c>
      <c r="F753" t="s">
        <v>52</v>
      </c>
      <c r="G753" t="s">
        <v>665</v>
      </c>
      <c r="H753">
        <f>HYPERLINK("https://www.jouwictvacature.nl/solliciteren?job=medior-front-end-developer-bij-lequest", "Link")</f>
        <v/>
      </c>
      <c r="I753" t="s">
        <v>17</v>
      </c>
      <c r="J753" t="s">
        <v>18</v>
      </c>
      <c r="K753" t="s">
        <v>1454</v>
      </c>
      <c r="L753" t="s">
        <v>1455</v>
      </c>
    </row>
    <row hidden="1" r="754" s="1" spans="1:12">
      <c r="A754" s="4" t="n">
        <v>43130</v>
      </c>
      <c r="B754" t="s">
        <v>843</v>
      </c>
      <c r="C754" t="s">
        <v>45</v>
      </c>
      <c r="D754" t="s">
        <v>245</v>
      </c>
      <c r="E754" t="s">
        <v>15</v>
      </c>
      <c r="F754" t="s">
        <v>16</v>
      </c>
      <c r="G754" t="s">
        <v>1318</v>
      </c>
      <c r="H754">
        <f>HYPERLINK("https://www.jouwictvacature.nl/solliciteren?job=ervaren-front-end-developer-bij-rivium-business-solutions", "Link")</f>
        <v/>
      </c>
      <c r="I754" t="s">
        <v>17</v>
      </c>
      <c r="J754" t="s">
        <v>18</v>
      </c>
      <c r="K754" t="s">
        <v>1319</v>
      </c>
      <c r="L754" t="s">
        <v>1320</v>
      </c>
    </row>
    <row hidden="1" r="755" s="1" spans="1:12">
      <c r="A755" s="4" t="n">
        <v>43129</v>
      </c>
      <c r="B755" t="s">
        <v>1235</v>
      </c>
      <c r="C755" t="s">
        <v>1236</v>
      </c>
      <c r="D755" t="s">
        <v>245</v>
      </c>
      <c r="E755" t="s">
        <v>15</v>
      </c>
      <c r="F755" t="s">
        <v>16</v>
      </c>
      <c r="G755" t="s">
        <v>1293</v>
      </c>
      <c r="H755">
        <f>HYPERLINK("https://www.jouwictvacature.nl/solliciteren?job=net-developer-4", "Link")</f>
        <v/>
      </c>
      <c r="I755" t="s">
        <v>17</v>
      </c>
      <c r="J755" t="s">
        <v>18</v>
      </c>
      <c r="K755" t="s">
        <v>1238</v>
      </c>
      <c r="L755" t="s">
        <v>1294</v>
      </c>
    </row>
    <row hidden="1" r="756" s="1" spans="1:12">
      <c r="A756" s="4" t="n">
        <v>43130</v>
      </c>
      <c r="B756" t="s">
        <v>1235</v>
      </c>
      <c r="C756" t="s">
        <v>1236</v>
      </c>
      <c r="D756" t="s">
        <v>245</v>
      </c>
      <c r="E756" t="s">
        <v>15</v>
      </c>
      <c r="F756" t="s">
        <v>16</v>
      </c>
      <c r="G756" t="s">
        <v>1456</v>
      </c>
      <c r="H756">
        <f>HYPERLINK("https://www.jouwictvacature.nl/solliciteren?job=gemotiveerde-net-developer-bij-rovict", "Link")</f>
        <v/>
      </c>
      <c r="I756" t="s">
        <v>17</v>
      </c>
      <c r="J756" t="s">
        <v>18</v>
      </c>
      <c r="K756" t="s">
        <v>1238</v>
      </c>
      <c r="L756" t="s">
        <v>1457</v>
      </c>
    </row>
    <row hidden="1" r="757" s="1" spans="1:12">
      <c r="A757" s="4" t="n">
        <v>43129</v>
      </c>
      <c r="B757" t="s">
        <v>365</v>
      </c>
      <c r="C757" t="s">
        <v>366</v>
      </c>
      <c r="D757" t="s">
        <v>14</v>
      </c>
      <c r="E757" t="s">
        <v>15</v>
      </c>
      <c r="F757" t="s">
        <v>34</v>
      </c>
      <c r="G757" t="s">
        <v>748</v>
      </c>
      <c r="H757">
        <f>HYPERLINK("https://www.jouwictvacature.nl/solliciteren?job=technische-front-end-developer-2", "Link")</f>
        <v/>
      </c>
      <c r="I757" t="s">
        <v>17</v>
      </c>
      <c r="J757" t="s">
        <v>18</v>
      </c>
      <c r="K757" t="s">
        <v>740</v>
      </c>
      <c r="L757" t="s">
        <v>749</v>
      </c>
    </row>
    <row hidden="1" r="758" s="1" spans="1:12">
      <c r="A758" s="4" t="n">
        <v>43129</v>
      </c>
      <c r="B758" t="s">
        <v>142</v>
      </c>
      <c r="C758" t="s">
        <v>143</v>
      </c>
      <c r="D758" t="s">
        <v>22</v>
      </c>
      <c r="E758" t="s">
        <v>15</v>
      </c>
      <c r="F758" t="s">
        <v>52</v>
      </c>
      <c r="G758" t="s">
        <v>147</v>
      </c>
      <c r="H758">
        <f>HYPERLINK("https://www.jouwictvacature.nl/solliciteren?job=medior-allround-developer-bij-coas", "Link")</f>
        <v/>
      </c>
      <c r="I758" t="s">
        <v>17</v>
      </c>
      <c r="J758" t="s">
        <v>18</v>
      </c>
      <c r="K758" t="s">
        <v>145</v>
      </c>
      <c r="L758" t="s">
        <v>148</v>
      </c>
    </row>
    <row r="759" spans="1:12">
      <c r="A759" s="4" t="n">
        <v>43129</v>
      </c>
      <c r="B759" t="s">
        <v>329</v>
      </c>
      <c r="C759" t="s">
        <v>80</v>
      </c>
      <c r="D759" t="s">
        <v>14</v>
      </c>
      <c r="E759" t="s">
        <v>51</v>
      </c>
      <c r="F759" t="s">
        <v>16</v>
      </c>
      <c r="G759" t="s">
        <v>329</v>
      </c>
      <c r="H759">
        <f>HYPERLINK("https://www.jouwictvacature.nl/solliciteren?job=medior-front-end-developer-bij-member-get-member-bij-member-get-member", "Link")</f>
        <v/>
      </c>
      <c r="I759" t="s">
        <v>17</v>
      </c>
      <c r="J759" t="s">
        <v>18</v>
      </c>
      <c r="K759" t="s">
        <v>330</v>
      </c>
      <c r="L759" t="s">
        <v>1458</v>
      </c>
    </row>
    <row hidden="1" r="760" s="1" spans="1:12">
      <c r="A760" s="4" t="n">
        <v>43129</v>
      </c>
      <c r="B760" t="s">
        <v>71</v>
      </c>
      <c r="C760" t="s">
        <v>76</v>
      </c>
      <c r="D760" t="s">
        <v>22</v>
      </c>
      <c r="E760" t="s">
        <v>15</v>
      </c>
      <c r="F760" t="s">
        <v>28</v>
      </c>
      <c r="G760" t="s">
        <v>1459</v>
      </c>
      <c r="H760">
        <f>HYPERLINK("https://www.jouwictvacature.nl/solliciteren?job=senior-agile-test-specialist-bij-bartosz-bij-bartosz-zwolle", "Link")</f>
        <v/>
      </c>
      <c r="I760" t="s">
        <v>17</v>
      </c>
      <c r="J760" t="s">
        <v>18</v>
      </c>
      <c r="K760" t="s">
        <v>91</v>
      </c>
      <c r="L760" t="s">
        <v>1460</v>
      </c>
    </row>
    <row hidden="1" r="761" s="1" spans="1:12">
      <c r="A761" s="4" t="n">
        <v>43129</v>
      </c>
      <c r="B761" t="s">
        <v>115</v>
      </c>
      <c r="C761" t="s">
        <v>62</v>
      </c>
      <c r="D761" t="s">
        <v>22</v>
      </c>
      <c r="E761" t="s">
        <v>15</v>
      </c>
      <c r="F761" t="s">
        <v>28</v>
      </c>
      <c r="G761" t="s">
        <v>1063</v>
      </c>
      <c r="H761">
        <f>HYPERLINK("https://www.jouwictvacature.nl/solliciteren?job=senior-developer-in-utrecht--vbnet-aspnet-java-spring-bij-bottomline", "Link")</f>
        <v/>
      </c>
      <c r="I761" t="s">
        <v>17</v>
      </c>
      <c r="J761" t="s">
        <v>18</v>
      </c>
      <c r="K761" t="s">
        <v>1064</v>
      </c>
      <c r="L761" t="s">
        <v>1065</v>
      </c>
    </row>
    <row hidden="1" r="762" s="1" spans="1:12">
      <c r="A762" s="4" t="n">
        <v>43129</v>
      </c>
      <c r="B762" t="s">
        <v>1377</v>
      </c>
      <c r="C762" t="s">
        <v>1378</v>
      </c>
      <c r="D762" t="s">
        <v>22</v>
      </c>
      <c r="E762" t="s">
        <v>15</v>
      </c>
      <c r="F762" t="s">
        <v>34</v>
      </c>
      <c r="G762" t="s">
        <v>1461</v>
      </c>
      <c r="H762">
        <f>HYPERLINK("https://www.jouwictvacature.nl/solliciteren?job=junior-developer-bij-gappless--java-spring-boot-javascript-postgresql-", "Link")</f>
        <v/>
      </c>
      <c r="I762" t="s">
        <v>17</v>
      </c>
      <c r="J762" t="s">
        <v>18</v>
      </c>
      <c r="K762" t="s">
        <v>1380</v>
      </c>
      <c r="L762" t="s">
        <v>1462</v>
      </c>
    </row>
    <row hidden="1" r="763" s="1" spans="1:12">
      <c r="A763" s="4" t="n">
        <v>43129</v>
      </c>
      <c r="B763" t="s">
        <v>174</v>
      </c>
      <c r="C763" t="s">
        <v>62</v>
      </c>
      <c r="D763" t="s">
        <v>22</v>
      </c>
      <c r="E763" t="s">
        <v>15</v>
      </c>
      <c r="F763" t="s">
        <v>52</v>
      </c>
      <c r="G763" t="s">
        <v>175</v>
      </c>
      <c r="H763">
        <f>HYPERLINK("https://www.jouwictvacature.nl/solliciteren?job=medior-java-full-stack-developer-bij-dpa-geos", "Link")</f>
        <v/>
      </c>
      <c r="I763" t="s">
        <v>17</v>
      </c>
      <c r="J763" t="s">
        <v>18</v>
      </c>
      <c r="K763" t="s">
        <v>176</v>
      </c>
      <c r="L763" t="s">
        <v>177</v>
      </c>
    </row>
    <row hidden="1" r="764" s="1" spans="1:12">
      <c r="A764" s="4" t="n">
        <v>43129</v>
      </c>
      <c r="B764" t="s">
        <v>1377</v>
      </c>
      <c r="C764" t="s">
        <v>1378</v>
      </c>
      <c r="D764" t="s">
        <v>22</v>
      </c>
      <c r="E764" t="s">
        <v>15</v>
      </c>
      <c r="F764" t="s">
        <v>16</v>
      </c>
      <c r="G764" t="s">
        <v>1463</v>
      </c>
      <c r="H764">
        <f>HYPERLINK("https://www.jouwictvacature.nl/solliciteren?job=in-de-suikersilos-in-halfweg-aan-de-slag-als-java-developer-bij-gapple", "Link")</f>
        <v/>
      </c>
      <c r="I764" t="s">
        <v>17</v>
      </c>
      <c r="J764" t="s">
        <v>18</v>
      </c>
      <c r="K764" t="s">
        <v>1380</v>
      </c>
      <c r="L764" t="s">
        <v>1464</v>
      </c>
    </row>
    <row hidden="1" r="765" s="1" spans="1:12">
      <c r="A765" s="4" t="n">
        <v>43129</v>
      </c>
      <c r="B765" t="s">
        <v>378</v>
      </c>
      <c r="C765" t="s">
        <v>309</v>
      </c>
      <c r="D765" t="s">
        <v>14</v>
      </c>
      <c r="E765" t="s">
        <v>15</v>
      </c>
      <c r="F765" t="s">
        <v>16</v>
      </c>
      <c r="G765" t="s">
        <v>1465</v>
      </c>
      <c r="H765">
        <f>HYPERLINK("https://www.jouwictvacature.nl/solliciteren?job=hbowo-ict-stage-bij-opensatisfaction-te-amersfoort", "Link")</f>
        <v/>
      </c>
      <c r="I765" t="s">
        <v>17</v>
      </c>
      <c r="J765" t="s">
        <v>18</v>
      </c>
      <c r="K765" t="s">
        <v>759</v>
      </c>
      <c r="L765" t="s">
        <v>1466</v>
      </c>
    </row>
    <row hidden="1" r="766" s="1" spans="1:12">
      <c r="A766" s="4" t="n">
        <v>43129</v>
      </c>
      <c r="B766" t="s">
        <v>115</v>
      </c>
      <c r="C766" t="s">
        <v>62</v>
      </c>
      <c r="D766" t="s">
        <v>22</v>
      </c>
      <c r="E766" t="s">
        <v>15</v>
      </c>
      <c r="F766" t="s">
        <v>28</v>
      </c>
      <c r="G766" t="s">
        <v>1467</v>
      </c>
      <c r="H766">
        <f>HYPERLINK("https://www.jouwictvacature.nl/solliciteren?job=senior-java-spring-developer-bij-bottomline", "Link")</f>
        <v/>
      </c>
      <c r="I766" t="s">
        <v>17</v>
      </c>
      <c r="J766" t="s">
        <v>18</v>
      </c>
      <c r="K766" t="s">
        <v>121</v>
      </c>
      <c r="L766" t="s">
        <v>1468</v>
      </c>
    </row>
    <row hidden="1" r="767" s="1" spans="1:12">
      <c r="A767" s="4" t="n">
        <v>43129</v>
      </c>
      <c r="B767" t="s">
        <v>71</v>
      </c>
      <c r="C767" t="s">
        <v>62</v>
      </c>
      <c r="D767" t="s">
        <v>22</v>
      </c>
      <c r="E767" t="s">
        <v>15</v>
      </c>
      <c r="F767" t="s">
        <v>52</v>
      </c>
      <c r="G767" t="s">
        <v>1167</v>
      </c>
      <c r="H767">
        <f>HYPERLINK("https://www.jouwictvacature.nl/solliciteren?job=medior-feedback-engineer--exploratory-testing-context-driven-testing-b-2", "Link")</f>
        <v/>
      </c>
      <c r="I767" t="s">
        <v>17</v>
      </c>
      <c r="J767" t="s">
        <v>18</v>
      </c>
      <c r="K767" t="s">
        <v>78</v>
      </c>
      <c r="L767" t="s">
        <v>1469</v>
      </c>
    </row>
    <row hidden="1" r="768" s="1" spans="1:12">
      <c r="A768" s="4" t="n">
        <v>43129</v>
      </c>
      <c r="B768" t="s">
        <v>1470</v>
      </c>
      <c r="C768" t="s">
        <v>1471</v>
      </c>
      <c r="D768" t="s">
        <v>22</v>
      </c>
      <c r="E768" t="s">
        <v>15</v>
      </c>
      <c r="F768" t="s">
        <v>16</v>
      </c>
      <c r="G768" t="s">
        <v>1470</v>
      </c>
      <c r="H768">
        <f>HYPERLINK("https://www.jouwictvacature.nl/solliciteren?job=java-engineer-2", "Link")</f>
        <v/>
      </c>
      <c r="I768" t="s">
        <v>17</v>
      </c>
      <c r="J768" t="s">
        <v>18</v>
      </c>
      <c r="K768" t="s">
        <v>1472</v>
      </c>
      <c r="L768" t="s">
        <v>1473</v>
      </c>
    </row>
    <row hidden="1" r="769" s="1" spans="1:12">
      <c r="A769" s="4" t="n">
        <v>43129</v>
      </c>
      <c r="B769" t="s">
        <v>1068</v>
      </c>
      <c r="C769" t="s">
        <v>197</v>
      </c>
      <c r="D769" t="s">
        <v>245</v>
      </c>
      <c r="E769" t="s">
        <v>15</v>
      </c>
      <c r="F769" t="s">
        <v>52</v>
      </c>
      <c r="G769" t="s">
        <v>1474</v>
      </c>
      <c r="H769">
        <f>HYPERLINK("https://www.jouwictvacature.nl/solliciteren?job=lead-net-developer-bij-searchdog-inhouse-", "Link")</f>
        <v/>
      </c>
      <c r="I769" t="s">
        <v>17</v>
      </c>
      <c r="J769" t="s">
        <v>18</v>
      </c>
      <c r="K769" t="s">
        <v>1070</v>
      </c>
      <c r="L769" t="s">
        <v>1475</v>
      </c>
    </row>
    <row hidden="1" r="770" s="1" spans="1:12">
      <c r="A770" s="4" t="n">
        <v>43130</v>
      </c>
      <c r="B770" t="s">
        <v>1068</v>
      </c>
      <c r="C770" t="s">
        <v>197</v>
      </c>
      <c r="D770" t="s">
        <v>245</v>
      </c>
      <c r="E770" t="s">
        <v>15</v>
      </c>
      <c r="F770" t="s">
        <v>28</v>
      </c>
      <c r="G770" t="s">
        <v>1069</v>
      </c>
      <c r="H770">
        <f>HYPERLINK("https://www.jouwictvacature.nl/solliciteren?job=senior-net-developer-bij-searchdog-inhouse", "Link")</f>
        <v/>
      </c>
      <c r="I770" t="s">
        <v>17</v>
      </c>
      <c r="J770" t="s">
        <v>18</v>
      </c>
      <c r="K770" t="s">
        <v>1070</v>
      </c>
      <c r="L770" t="s">
        <v>1071</v>
      </c>
    </row>
    <row hidden="1" r="771" s="1" spans="1:12">
      <c r="A771" s="4" t="n">
        <v>43130</v>
      </c>
      <c r="B771" t="s">
        <v>442</v>
      </c>
      <c r="C771" t="s">
        <v>13</v>
      </c>
      <c r="D771" t="s">
        <v>245</v>
      </c>
      <c r="E771" t="s">
        <v>15</v>
      </c>
      <c r="F771" t="s">
        <v>34</v>
      </c>
      <c r="G771" t="s">
        <v>1476</v>
      </c>
      <c r="H771">
        <f>HYPERLINK("https://www.jouwictvacature.nl/solliciteren?job=junior-fullstack-software-ontwikkelaar--java-javascript-angular2-sprin", "Link")</f>
        <v/>
      </c>
      <c r="I771" t="s">
        <v>17</v>
      </c>
      <c r="J771" t="s">
        <v>18</v>
      </c>
      <c r="K771" t="s">
        <v>444</v>
      </c>
      <c r="L771" t="s">
        <v>1477</v>
      </c>
    </row>
    <row hidden="1" r="772" s="1" spans="1:12">
      <c r="A772" s="4" t="n">
        <v>43129</v>
      </c>
      <c r="B772" t="s">
        <v>697</v>
      </c>
      <c r="C772" t="s">
        <v>619</v>
      </c>
      <c r="D772" t="s">
        <v>22</v>
      </c>
      <c r="E772" t="s">
        <v>15</v>
      </c>
      <c r="F772" t="s">
        <v>16</v>
      </c>
      <c r="G772" t="s">
        <v>697</v>
      </c>
      <c r="H772">
        <f>HYPERLINK("https://www.jouwictvacature.nl/solliciteren?job=medior-applicatie-engineer-bij-diract-it", "Link")</f>
        <v/>
      </c>
      <c r="I772" t="s">
        <v>17</v>
      </c>
      <c r="J772" t="s">
        <v>18</v>
      </c>
      <c r="K772" t="s">
        <v>698</v>
      </c>
      <c r="L772" t="s">
        <v>699</v>
      </c>
    </row>
    <row hidden="1" r="773" s="1" spans="1:12">
      <c r="A773" s="4" t="n">
        <v>43129</v>
      </c>
      <c r="B773" t="s">
        <v>109</v>
      </c>
      <c r="C773" t="s">
        <v>80</v>
      </c>
      <c r="D773" t="s">
        <v>22</v>
      </c>
      <c r="E773" t="s">
        <v>15</v>
      </c>
      <c r="F773" t="s">
        <v>16</v>
      </c>
      <c r="G773" t="s">
        <v>109</v>
      </c>
      <c r="H773">
        <f>HYPERLINK("https://www.jouwictvacature.nl/solliciteren?job=medior--senior-net-developer-op-projectbasis", "Link")</f>
        <v/>
      </c>
      <c r="I773" t="s">
        <v>17</v>
      </c>
      <c r="J773" t="s">
        <v>18</v>
      </c>
      <c r="K773" t="s">
        <v>110</v>
      </c>
      <c r="L773" t="s">
        <v>1072</v>
      </c>
    </row>
    <row hidden="1" r="774" s="1" spans="1:12">
      <c r="A774" s="4" t="n">
        <v>43129</v>
      </c>
      <c r="B774" t="s">
        <v>142</v>
      </c>
      <c r="C774" t="s">
        <v>143</v>
      </c>
      <c r="D774" t="s">
        <v>22</v>
      </c>
      <c r="E774" t="s">
        <v>15</v>
      </c>
      <c r="F774" t="s">
        <v>52</v>
      </c>
      <c r="G774" t="s">
        <v>147</v>
      </c>
      <c r="H774">
        <f>HYPERLINK("https://www.jouwictvacature.nl/solliciteren?job=medior-allround-developer-bij-coas", "Link")</f>
        <v/>
      </c>
      <c r="I774" t="s">
        <v>17</v>
      </c>
      <c r="J774" t="s">
        <v>18</v>
      </c>
      <c r="K774" t="s">
        <v>145</v>
      </c>
      <c r="L774" t="s">
        <v>148</v>
      </c>
    </row>
    <row hidden="1" r="775" s="1" spans="1:12">
      <c r="A775" s="4" t="n">
        <v>43129</v>
      </c>
      <c r="B775" t="s">
        <v>693</v>
      </c>
      <c r="C775" t="s">
        <v>694</v>
      </c>
      <c r="D775" t="s">
        <v>22</v>
      </c>
      <c r="E775" t="s">
        <v>15</v>
      </c>
      <c r="F775" t="s">
        <v>16</v>
      </c>
      <c r="G775" t="s">
        <v>693</v>
      </c>
      <c r="H775">
        <f>HYPERLINK("https://www.jouwictvacature.nl/solliciteren?job=junior-mendix-developer-bij-de-goudse", "Link")</f>
        <v/>
      </c>
      <c r="I775" t="s">
        <v>17</v>
      </c>
      <c r="J775" t="s">
        <v>18</v>
      </c>
      <c r="K775" t="s">
        <v>994</v>
      </c>
      <c r="L775" t="s">
        <v>1210</v>
      </c>
    </row>
    <row hidden="1" r="776" s="1" spans="1:12">
      <c r="A776" s="4" t="n">
        <v>43129</v>
      </c>
      <c r="B776" t="s">
        <v>785</v>
      </c>
      <c r="C776" t="s">
        <v>522</v>
      </c>
      <c r="D776" t="s">
        <v>22</v>
      </c>
      <c r="E776" t="s">
        <v>15</v>
      </c>
      <c r="F776" t="s">
        <v>16</v>
      </c>
      <c r="G776" t="s">
        <v>785</v>
      </c>
      <c r="H776">
        <f>HYPERLINK("https://www.jouwictvacature.nl/solliciteren?job=software-engineer-bij-ecare-3", "Link")</f>
        <v/>
      </c>
      <c r="I776" t="s">
        <v>17</v>
      </c>
      <c r="J776" t="s">
        <v>18</v>
      </c>
      <c r="K776" t="s">
        <v>1478</v>
      </c>
      <c r="L776" t="s">
        <v>1479</v>
      </c>
    </row>
    <row r="777" spans="1:12">
      <c r="A777" s="4" t="n">
        <v>43129</v>
      </c>
      <c r="B777" t="s">
        <v>49</v>
      </c>
      <c r="C777" t="s">
        <v>50</v>
      </c>
      <c r="D777" t="s">
        <v>22</v>
      </c>
      <c r="E777" t="s">
        <v>51</v>
      </c>
      <c r="F777" t="s">
        <v>52</v>
      </c>
      <c r="G777" t="s">
        <v>53</v>
      </c>
      <c r="H777">
        <f>HYPERLINK("https://www.jouwictvacature.nl/solliciteren?job=medior-front-end-angular2-developer-bij-asamco-bv", "Link")</f>
        <v/>
      </c>
      <c r="I777" t="s">
        <v>17</v>
      </c>
      <c r="J777" t="s">
        <v>18</v>
      </c>
      <c r="K777" t="s">
        <v>54</v>
      </c>
      <c r="L777" t="s">
        <v>55</v>
      </c>
    </row>
    <row hidden="1" r="778" s="1" spans="1:12">
      <c r="A778" s="4" t="n">
        <v>43129</v>
      </c>
      <c r="B778" t="s">
        <v>49</v>
      </c>
      <c r="C778" t="s">
        <v>50</v>
      </c>
      <c r="D778" t="s">
        <v>22</v>
      </c>
      <c r="E778" t="s">
        <v>15</v>
      </c>
      <c r="F778" t="s">
        <v>28</v>
      </c>
      <c r="G778" t="s">
        <v>1480</v>
      </c>
      <c r="H778">
        <f>HYPERLINK("https://www.jouwictvacature.nl/solliciteren?job=medior-front-end-developer--2", "Link")</f>
        <v/>
      </c>
      <c r="I778" t="s">
        <v>17</v>
      </c>
      <c r="J778" t="s">
        <v>18</v>
      </c>
      <c r="K778" t="s">
        <v>1249</v>
      </c>
      <c r="L778" t="s">
        <v>1481</v>
      </c>
    </row>
    <row hidden="1" r="779" s="1" spans="1:12">
      <c r="A779" s="4" t="n">
        <v>43129</v>
      </c>
      <c r="B779" t="s">
        <v>308</v>
      </c>
      <c r="C779" t="s">
        <v>309</v>
      </c>
      <c r="D779" t="s">
        <v>14</v>
      </c>
      <c r="E779" t="s">
        <v>15</v>
      </c>
      <c r="F779" t="s">
        <v>16</v>
      </c>
      <c r="G779" t="s">
        <v>937</v>
      </c>
      <c r="H779">
        <f>HYPERLINK("https://www.jouwictvacature.nl/solliciteren?job=operator-bij-marketgraph-voor-in-de-mediabranche", "Link")</f>
        <v/>
      </c>
      <c r="I779" t="s">
        <v>17</v>
      </c>
      <c r="J779" t="s">
        <v>18</v>
      </c>
      <c r="K779" t="s">
        <v>311</v>
      </c>
      <c r="L779" t="s">
        <v>938</v>
      </c>
    </row>
    <row hidden="1" r="780" s="1" spans="1:12">
      <c r="A780" s="4" t="n">
        <v>43129</v>
      </c>
      <c r="B780" t="s">
        <v>885</v>
      </c>
      <c r="C780" t="s">
        <v>76</v>
      </c>
      <c r="D780" t="s">
        <v>14</v>
      </c>
      <c r="E780" t="s">
        <v>15</v>
      </c>
      <c r="F780" t="s">
        <v>16</v>
      </c>
      <c r="G780" t="s">
        <v>1482</v>
      </c>
      <c r="H780">
        <f>HYPERLINK("https://www.jouwictvacature.nl/solliciteren?job=gedreven-medior-backend-developer-3", "Link")</f>
        <v/>
      </c>
      <c r="I780" t="s">
        <v>17</v>
      </c>
      <c r="J780" t="s">
        <v>18</v>
      </c>
      <c r="K780" t="s">
        <v>887</v>
      </c>
      <c r="L780" t="s">
        <v>1483</v>
      </c>
    </row>
    <row hidden="1" r="781" s="1" spans="1:12">
      <c r="A781" s="4" t="n">
        <v>43129</v>
      </c>
      <c r="B781" t="s">
        <v>26</v>
      </c>
      <c r="C781" t="s">
        <v>27</v>
      </c>
      <c r="D781" t="s">
        <v>22</v>
      </c>
      <c r="E781" t="s">
        <v>15</v>
      </c>
      <c r="F781" t="s">
        <v>34</v>
      </c>
      <c r="G781" t="s">
        <v>35</v>
      </c>
      <c r="H781">
        <f>HYPERLINK("https://www.jouwictvacature.nl/solliciteren?job=junior-php-back-end-developer-bij-aan-zee-communicatie", "Link")</f>
        <v/>
      </c>
      <c r="I781" t="s">
        <v>17</v>
      </c>
      <c r="J781" t="s">
        <v>18</v>
      </c>
      <c r="K781" t="s">
        <v>30</v>
      </c>
      <c r="L781" t="s">
        <v>36</v>
      </c>
    </row>
    <row r="782" spans="1:12">
      <c r="A782" s="4" t="n">
        <v>43129</v>
      </c>
      <c r="B782" t="s">
        <v>49</v>
      </c>
      <c r="C782" t="s">
        <v>50</v>
      </c>
      <c r="D782" t="s">
        <v>22</v>
      </c>
      <c r="E782" t="s">
        <v>51</v>
      </c>
      <c r="F782" t="s">
        <v>52</v>
      </c>
      <c r="G782" t="s">
        <v>947</v>
      </c>
      <c r="H782">
        <f>HYPERLINK("https://www.jouwictvacature.nl/solliciteren?job=medior-allround-developer-bij-asamco-bv", "Link")</f>
        <v/>
      </c>
      <c r="I782" t="s">
        <v>17</v>
      </c>
      <c r="J782" t="s">
        <v>18</v>
      </c>
      <c r="K782" t="s">
        <v>59</v>
      </c>
      <c r="L782" t="s">
        <v>948</v>
      </c>
    </row>
    <row hidden="1" r="783" s="1" spans="1:12">
      <c r="A783" s="4" t="n">
        <v>43129</v>
      </c>
      <c r="B783" t="s">
        <v>1484</v>
      </c>
      <c r="C783" t="s">
        <v>1027</v>
      </c>
      <c r="D783" t="s">
        <v>22</v>
      </c>
      <c r="E783" t="s">
        <v>15</v>
      </c>
      <c r="F783" t="s">
        <v>16</v>
      </c>
      <c r="G783" t="s">
        <v>1484</v>
      </c>
      <c r="H783">
        <f>HYPERLINK("https://www.jouwictvacature.nl/solliciteren?job=fullstack-developer-met-reactjs-ervaring-bij-flexkids", "Link")</f>
        <v/>
      </c>
      <c r="I783" t="s">
        <v>17</v>
      </c>
      <c r="J783" t="s">
        <v>18</v>
      </c>
      <c r="K783" t="s">
        <v>1485</v>
      </c>
      <c r="L783" t="s">
        <v>1486</v>
      </c>
    </row>
    <row hidden="1" r="784" s="1" spans="1:12">
      <c r="A784" s="4" t="n">
        <v>43129</v>
      </c>
      <c r="B784" t="s">
        <v>881</v>
      </c>
      <c r="C784" t="s">
        <v>428</v>
      </c>
      <c r="D784" t="s">
        <v>22</v>
      </c>
      <c r="E784" t="s">
        <v>15</v>
      </c>
      <c r="F784" t="s">
        <v>28</v>
      </c>
      <c r="G784" t="s">
        <v>295</v>
      </c>
      <c r="H784">
        <f>HYPERLINK("https://www.jouwictvacature.nl/solliciteren?job=senior-php-developer-bij-cepo", "Link")</f>
        <v/>
      </c>
      <c r="I784" t="s">
        <v>17</v>
      </c>
      <c r="J784" t="s">
        <v>18</v>
      </c>
      <c r="K784" t="s">
        <v>883</v>
      </c>
      <c r="L784" t="s">
        <v>1406</v>
      </c>
    </row>
    <row hidden="1" r="785" s="1" spans="1:12">
      <c r="A785" s="4" t="n">
        <v>43129</v>
      </c>
      <c r="B785" t="s">
        <v>1487</v>
      </c>
      <c r="C785" t="s">
        <v>93</v>
      </c>
      <c r="D785" t="s">
        <v>245</v>
      </c>
      <c r="E785" t="s">
        <v>15</v>
      </c>
      <c r="F785" t="s">
        <v>28</v>
      </c>
      <c r="G785" t="s">
        <v>1488</v>
      </c>
      <c r="H785">
        <f>HYPERLINK("https://www.jouwictvacature.nl/solliciteren?job=senior-php-developer-bij-simgroep", "Link")</f>
        <v/>
      </c>
      <c r="I785" t="s">
        <v>17</v>
      </c>
      <c r="J785" t="s">
        <v>18</v>
      </c>
      <c r="K785" t="s">
        <v>1489</v>
      </c>
      <c r="L785" t="s">
        <v>1490</v>
      </c>
    </row>
    <row hidden="1" r="786" s="1" spans="1:12">
      <c r="A786" s="4" t="n">
        <v>43130</v>
      </c>
      <c r="B786" t="s">
        <v>446</v>
      </c>
      <c r="C786" t="s">
        <v>447</v>
      </c>
      <c r="D786" t="s">
        <v>245</v>
      </c>
      <c r="E786" t="s">
        <v>15</v>
      </c>
      <c r="F786" t="s">
        <v>16</v>
      </c>
      <c r="G786" t="s">
        <v>446</v>
      </c>
      <c r="H786">
        <f>HYPERLINK("https://www.jouwictvacature.nl/solliciteren?job=senior-back-end-developer-2", "Link")</f>
        <v/>
      </c>
      <c r="I786" t="s">
        <v>17</v>
      </c>
      <c r="J786" t="s">
        <v>18</v>
      </c>
      <c r="K786" t="s">
        <v>448</v>
      </c>
      <c r="L786" t="s">
        <v>449</v>
      </c>
    </row>
    <row hidden="1" r="787" s="1" spans="1:12">
      <c r="A787" s="4" t="n">
        <v>43129</v>
      </c>
      <c r="B787" t="s">
        <v>1446</v>
      </c>
      <c r="C787" t="s">
        <v>80</v>
      </c>
      <c r="D787" t="s">
        <v>22</v>
      </c>
      <c r="E787" t="s">
        <v>15</v>
      </c>
      <c r="F787" t="s">
        <v>16</v>
      </c>
      <c r="G787" t="s">
        <v>1447</v>
      </c>
      <c r="H787">
        <f>HYPERLINK("https://www.jouwictvacature.nl/solliciteren?job=web-developer-bij-comrads-solutions-2", "Link")</f>
        <v/>
      </c>
      <c r="I787" t="s">
        <v>17</v>
      </c>
      <c r="J787" t="s">
        <v>18</v>
      </c>
      <c r="K787" t="s">
        <v>1448</v>
      </c>
      <c r="L787" t="s">
        <v>1449</v>
      </c>
    </row>
    <row hidden="1" r="788" s="1" spans="1:12">
      <c r="A788" s="4" t="n">
        <v>43132</v>
      </c>
      <c r="B788" t="s">
        <v>446</v>
      </c>
      <c r="C788" t="s">
        <v>447</v>
      </c>
      <c r="D788" t="s">
        <v>245</v>
      </c>
      <c r="E788" t="s">
        <v>15</v>
      </c>
      <c r="F788" t="s">
        <v>16</v>
      </c>
      <c r="G788" t="s">
        <v>446</v>
      </c>
      <c r="H788">
        <f>HYPERLINK("https://www.jouwictvacature.nl/solliciteren?job=senior-back-end-developer-2", "Link")</f>
        <v/>
      </c>
      <c r="I788" t="s">
        <v>17</v>
      </c>
      <c r="J788" t="s">
        <v>18</v>
      </c>
      <c r="K788" t="s">
        <v>448</v>
      </c>
      <c r="L788" t="s">
        <v>449</v>
      </c>
    </row>
    <row hidden="1" r="789" s="1" spans="1:12">
      <c r="A789" s="4" t="n">
        <v>43129</v>
      </c>
      <c r="B789" t="s">
        <v>396</v>
      </c>
      <c r="C789" t="s">
        <v>397</v>
      </c>
      <c r="D789" t="s">
        <v>14</v>
      </c>
      <c r="E789" t="s">
        <v>15</v>
      </c>
      <c r="F789" t="s">
        <v>28</v>
      </c>
      <c r="G789" t="s">
        <v>1491</v>
      </c>
      <c r="H789">
        <f>HYPERLINK("https://www.jouwictvacature.nl/solliciteren?job=senior-webdeveloper-fullstack", "Link")</f>
        <v/>
      </c>
      <c r="I789" t="s">
        <v>17</v>
      </c>
      <c r="J789" t="s">
        <v>18</v>
      </c>
      <c r="K789" t="s">
        <v>1492</v>
      </c>
      <c r="L789" t="s">
        <v>1493</v>
      </c>
    </row>
    <row hidden="1" r="790" s="1" spans="1:12">
      <c r="A790" s="4" t="n">
        <v>43129</v>
      </c>
      <c r="B790" t="s">
        <v>750</v>
      </c>
      <c r="C790" t="s">
        <v>128</v>
      </c>
      <c r="D790" t="s">
        <v>22</v>
      </c>
      <c r="E790" t="s">
        <v>15</v>
      </c>
      <c r="F790" t="s">
        <v>16</v>
      </c>
      <c r="G790" t="s">
        <v>750</v>
      </c>
      <c r="H790">
        <f>HYPERLINK("https://www.jouwictvacature.nl/solliciteren?job=front-end-developer-bij-gemini-design", "Link")</f>
        <v/>
      </c>
      <c r="I790" t="s">
        <v>17</v>
      </c>
      <c r="J790" t="s">
        <v>18</v>
      </c>
      <c r="K790" t="s">
        <v>751</v>
      </c>
      <c r="L790" t="s">
        <v>1494</v>
      </c>
    </row>
    <row hidden="1" r="791" s="1" spans="1:12">
      <c r="A791" s="4" t="n">
        <v>43129</v>
      </c>
      <c r="B791" t="s">
        <v>358</v>
      </c>
      <c r="C791" t="s">
        <v>359</v>
      </c>
      <c r="D791" t="s">
        <v>14</v>
      </c>
      <c r="E791" t="s">
        <v>15</v>
      </c>
      <c r="F791" t="s">
        <v>34</v>
      </c>
      <c r="G791" t="s">
        <v>1495</v>
      </c>
      <c r="H791">
        <f>HYPERLINK("https://www.jouwictvacature.nl/solliciteren?job=junior-front-end-developer-11", "Link")</f>
        <v/>
      </c>
      <c r="I791" t="s">
        <v>17</v>
      </c>
      <c r="J791" t="s">
        <v>18</v>
      </c>
      <c r="K791" t="s">
        <v>361</v>
      </c>
      <c r="L791" t="s">
        <v>1496</v>
      </c>
    </row>
    <row hidden="1" r="792" s="1" spans="1:12">
      <c r="A792" s="4" t="n">
        <v>43129</v>
      </c>
      <c r="B792" t="s">
        <v>1251</v>
      </c>
      <c r="C792" t="s">
        <v>1252</v>
      </c>
      <c r="D792" t="s">
        <v>14</v>
      </c>
      <c r="E792" t="s">
        <v>15</v>
      </c>
      <c r="F792" t="s">
        <v>16</v>
      </c>
      <c r="G792" t="s">
        <v>1251</v>
      </c>
      <c r="H792">
        <f>HYPERLINK("https://www.jouwictvacature.nl/solliciteren?job=technical-team-lead-bij-indi-in-leek", "Link")</f>
        <v/>
      </c>
      <c r="I792" t="s">
        <v>17</v>
      </c>
      <c r="J792" t="s">
        <v>18</v>
      </c>
      <c r="K792" t="s">
        <v>1253</v>
      </c>
      <c r="L792" t="s">
        <v>1497</v>
      </c>
    </row>
    <row hidden="1" r="793" s="1" spans="1:12">
      <c r="A793" s="4" t="n">
        <v>43129</v>
      </c>
      <c r="B793" t="s">
        <v>227</v>
      </c>
      <c r="C793" t="s">
        <v>76</v>
      </c>
      <c r="D793" t="s">
        <v>22</v>
      </c>
      <c r="E793" t="s">
        <v>15</v>
      </c>
      <c r="F793" t="s">
        <v>16</v>
      </c>
      <c r="G793" t="s">
        <v>1498</v>
      </c>
      <c r="H793">
        <f>HYPERLINK("https://www.jouwictvacature.nl/solliciteren?job=creatieve-front-end-developer-", "Link")</f>
        <v/>
      </c>
      <c r="I793" t="s">
        <v>17</v>
      </c>
      <c r="J793" t="s">
        <v>18</v>
      </c>
      <c r="K793" t="s">
        <v>1499</v>
      </c>
      <c r="L793" t="s">
        <v>1500</v>
      </c>
    </row>
    <row hidden="1" r="794" s="1" spans="1:12">
      <c r="A794" s="4" t="n">
        <v>43132</v>
      </c>
      <c r="B794" t="s">
        <v>450</v>
      </c>
      <c r="C794" t="s">
        <v>451</v>
      </c>
      <c r="D794" t="s">
        <v>245</v>
      </c>
      <c r="E794" t="s">
        <v>15</v>
      </c>
      <c r="F794" t="s">
        <v>52</v>
      </c>
      <c r="G794" t="s">
        <v>1501</v>
      </c>
      <c r="H794">
        <f>HYPERLINK("https://www.jouwictvacature.nl/solliciteren?job=medior-javaweb-developer-in-automotive-sector--ms-sql-oracle-jsp", "Link")</f>
        <v/>
      </c>
      <c r="I794" t="s">
        <v>17</v>
      </c>
      <c r="J794" t="s">
        <v>18</v>
      </c>
      <c r="K794" t="s">
        <v>453</v>
      </c>
      <c r="L794" t="s">
        <v>1502</v>
      </c>
    </row>
    <row hidden="1" r="795" s="1" spans="1:12">
      <c r="A795" s="4" t="n">
        <v>43129</v>
      </c>
      <c r="B795" t="s">
        <v>1503</v>
      </c>
      <c r="C795" t="s">
        <v>80</v>
      </c>
      <c r="D795" t="s">
        <v>14</v>
      </c>
      <c r="E795" t="s">
        <v>15</v>
      </c>
      <c r="F795" t="s">
        <v>16</v>
      </c>
      <c r="G795" t="s">
        <v>1503</v>
      </c>
      <c r="H795">
        <f>HYPERLINK("https://www.jouwictvacature.nl/solliciteren?job=medior-front-end-developer-bij-owlin", "Link")</f>
        <v/>
      </c>
      <c r="I795" t="s">
        <v>17</v>
      </c>
      <c r="J795" t="s">
        <v>18</v>
      </c>
      <c r="K795" t="s">
        <v>1504</v>
      </c>
      <c r="L795" t="s">
        <v>1505</v>
      </c>
    </row>
    <row hidden="1" r="796" s="1" spans="1:12">
      <c r="A796" s="4" t="n">
        <v>43129</v>
      </c>
      <c r="B796" t="s">
        <v>455</v>
      </c>
      <c r="C796" t="s">
        <v>460</v>
      </c>
      <c r="D796" t="s">
        <v>245</v>
      </c>
      <c r="E796" t="s">
        <v>15</v>
      </c>
      <c r="F796" t="s">
        <v>52</v>
      </c>
      <c r="G796" t="s">
        <v>476</v>
      </c>
      <c r="H796">
        <f>HYPERLINK("https://www.jouwictvacature.nl/solliciteren?job=net-engineer-bij-sogeti-2", "Link")</f>
        <v/>
      </c>
      <c r="I796" t="s">
        <v>17</v>
      </c>
      <c r="J796" t="s">
        <v>18</v>
      </c>
      <c r="K796" t="s">
        <v>466</v>
      </c>
      <c r="L796" t="s">
        <v>477</v>
      </c>
    </row>
    <row hidden="1" r="797" s="1" spans="1:12">
      <c r="A797" s="4" t="n">
        <v>43129</v>
      </c>
      <c r="B797" t="s">
        <v>750</v>
      </c>
      <c r="C797" t="s">
        <v>128</v>
      </c>
      <c r="D797" t="s">
        <v>22</v>
      </c>
      <c r="E797" t="s">
        <v>15</v>
      </c>
      <c r="F797" t="s">
        <v>16</v>
      </c>
      <c r="G797" t="s">
        <v>750</v>
      </c>
      <c r="H797">
        <f>HYPERLINK("https://www.jouwictvacature.nl/solliciteren?job=senior-front-end-developer-bij-gemini-design", "Link")</f>
        <v/>
      </c>
      <c r="I797" t="s">
        <v>17</v>
      </c>
      <c r="J797" t="s">
        <v>18</v>
      </c>
      <c r="K797" t="s">
        <v>751</v>
      </c>
      <c r="L797" t="s">
        <v>1506</v>
      </c>
    </row>
    <row hidden="1" r="798" s="1" spans="1:12">
      <c r="A798" s="4" t="n">
        <v>43129</v>
      </c>
      <c r="B798" t="s">
        <v>230</v>
      </c>
      <c r="C798" t="s">
        <v>93</v>
      </c>
      <c r="D798" t="s">
        <v>22</v>
      </c>
      <c r="E798" t="s">
        <v>15</v>
      </c>
      <c r="F798" t="s">
        <v>16</v>
      </c>
      <c r="G798" t="s">
        <v>234</v>
      </c>
      <c r="H798">
        <f>HYPERLINK("https://www.jouwictvacature.nl/solliciteren?job=php-programmeur-17", "Link")</f>
        <v/>
      </c>
      <c r="I798" t="s">
        <v>17</v>
      </c>
      <c r="J798" t="s">
        <v>18</v>
      </c>
      <c r="K798" t="s">
        <v>235</v>
      </c>
      <c r="L798" t="s">
        <v>236</v>
      </c>
    </row>
    <row hidden="1" r="799" s="1" spans="1:12">
      <c r="A799" s="4" t="n">
        <v>43129</v>
      </c>
      <c r="B799" t="s">
        <v>455</v>
      </c>
      <c r="C799" t="s">
        <v>45</v>
      </c>
      <c r="D799" t="s">
        <v>245</v>
      </c>
      <c r="E799" t="s">
        <v>15</v>
      </c>
      <c r="F799" t="s">
        <v>52</v>
      </c>
      <c r="G799" t="s">
        <v>465</v>
      </c>
      <c r="H799">
        <f>HYPERLINK("https://www.jouwictvacature.nl/solliciteren?job=net-engineer-bij-sogeti-6", "Link")</f>
        <v/>
      </c>
      <c r="I799" t="s">
        <v>17</v>
      </c>
      <c r="J799" t="s">
        <v>18</v>
      </c>
      <c r="K799" t="s">
        <v>466</v>
      </c>
      <c r="L799" t="s">
        <v>467</v>
      </c>
    </row>
    <row hidden="1" r="800" s="1" spans="1:12">
      <c r="A800" s="4" t="n">
        <v>43129</v>
      </c>
      <c r="B800" t="s">
        <v>174</v>
      </c>
      <c r="C800" t="s">
        <v>38</v>
      </c>
      <c r="D800" t="s">
        <v>22</v>
      </c>
      <c r="E800" t="s">
        <v>15</v>
      </c>
      <c r="F800" t="s">
        <v>28</v>
      </c>
      <c r="G800" t="s">
        <v>671</v>
      </c>
      <c r="H800">
        <f>HYPERLINK("https://www.jouwictvacature.nl/solliciteren?job=senior-java-full-stack-developer-bij-dpa-geos-bij-dpa-3", "Link")</f>
        <v/>
      </c>
      <c r="I800" t="s">
        <v>17</v>
      </c>
      <c r="J800" t="s">
        <v>18</v>
      </c>
      <c r="K800" t="s">
        <v>176</v>
      </c>
      <c r="L800" t="s">
        <v>842</v>
      </c>
    </row>
    <row hidden="1" r="801" s="1" spans="1:12">
      <c r="A801" s="4" t="n">
        <v>43129</v>
      </c>
      <c r="B801" t="s">
        <v>71</v>
      </c>
      <c r="C801" t="s">
        <v>38</v>
      </c>
      <c r="D801" t="s">
        <v>22</v>
      </c>
      <c r="E801" t="s">
        <v>15</v>
      </c>
      <c r="F801" t="s">
        <v>34</v>
      </c>
      <c r="G801" t="s">
        <v>1382</v>
      </c>
      <c r="H801">
        <f>HYPERLINK("https://www.jouwictvacature.nl/solliciteren?job=junior-testanalist-bij-bartosz-bij-bartosz-eindhoven", "Link")</f>
        <v/>
      </c>
      <c r="I801" t="s">
        <v>17</v>
      </c>
      <c r="J801" t="s">
        <v>18</v>
      </c>
      <c r="K801" t="s">
        <v>95</v>
      </c>
      <c r="L801" t="s">
        <v>1383</v>
      </c>
    </row>
    <row hidden="1" r="802" s="1" spans="1:12">
      <c r="A802" s="4" t="n">
        <v>43129</v>
      </c>
      <c r="B802" t="s">
        <v>455</v>
      </c>
      <c r="C802" t="s">
        <v>309</v>
      </c>
      <c r="D802" t="s">
        <v>245</v>
      </c>
      <c r="E802" t="s">
        <v>15</v>
      </c>
      <c r="F802" t="s">
        <v>28</v>
      </c>
      <c r="G802" t="s">
        <v>1507</v>
      </c>
      <c r="H802">
        <f>HYPERLINK("https://www.jouwictvacature.nl/solliciteren?job=medior-net-engineer-bij-sogeti-5", "Link")</f>
        <v/>
      </c>
      <c r="I802" t="s">
        <v>17</v>
      </c>
      <c r="J802" t="s">
        <v>18</v>
      </c>
      <c r="K802" t="s">
        <v>466</v>
      </c>
      <c r="L802" t="s">
        <v>1508</v>
      </c>
    </row>
    <row hidden="1" r="803" s="1" spans="1:12">
      <c r="A803" s="4" t="n">
        <v>43129</v>
      </c>
      <c r="B803" t="s">
        <v>71</v>
      </c>
      <c r="C803" t="s">
        <v>62</v>
      </c>
      <c r="D803" t="s">
        <v>22</v>
      </c>
      <c r="E803" t="s">
        <v>15</v>
      </c>
      <c r="F803" t="s">
        <v>16</v>
      </c>
      <c r="G803" t="s">
        <v>1509</v>
      </c>
      <c r="H803">
        <f>HYPERLINK("https://www.jouwictvacature.nl/solliciteren?job=startende-agile-test-engineer-bij-bartosz-bij-bartosz-utrecht", "Link")</f>
        <v/>
      </c>
      <c r="I803" t="s">
        <v>17</v>
      </c>
      <c r="J803" t="s">
        <v>18</v>
      </c>
      <c r="K803" t="s">
        <v>1510</v>
      </c>
      <c r="L803" t="s">
        <v>1511</v>
      </c>
    </row>
    <row hidden="1" r="804" s="1" spans="1:12">
      <c r="A804" s="4" t="n">
        <v>43129</v>
      </c>
      <c r="B804" t="s">
        <v>693</v>
      </c>
      <c r="C804" t="s">
        <v>694</v>
      </c>
      <c r="D804" t="s">
        <v>22</v>
      </c>
      <c r="E804" t="s">
        <v>15</v>
      </c>
      <c r="F804" t="s">
        <v>16</v>
      </c>
      <c r="G804" t="s">
        <v>693</v>
      </c>
      <c r="H804">
        <f>HYPERLINK("https://www.jouwictvacature.nl/solliciteren?job=junior-mendix-developer-bij-de-goudse", "Link")</f>
        <v/>
      </c>
      <c r="I804" t="s">
        <v>17</v>
      </c>
      <c r="J804" t="s">
        <v>18</v>
      </c>
      <c r="K804" t="s">
        <v>994</v>
      </c>
      <c r="L804" t="s">
        <v>1210</v>
      </c>
    </row>
    <row hidden="1" r="805" s="1" spans="1:12">
      <c r="A805" s="4" t="n">
        <v>43129</v>
      </c>
      <c r="B805" t="s">
        <v>455</v>
      </c>
      <c r="C805" t="s">
        <v>45</v>
      </c>
      <c r="D805" t="s">
        <v>245</v>
      </c>
      <c r="E805" t="s">
        <v>15</v>
      </c>
      <c r="F805" t="s">
        <v>28</v>
      </c>
      <c r="G805" t="s">
        <v>1512</v>
      </c>
      <c r="H805">
        <f>HYPERLINK("https://www.jouwictvacature.nl/solliciteren?job=medior-net-engineer-bij-sogeti-3", "Link")</f>
        <v/>
      </c>
      <c r="I805" t="s">
        <v>17</v>
      </c>
      <c r="J805" t="s">
        <v>18</v>
      </c>
      <c r="K805" t="s">
        <v>466</v>
      </c>
      <c r="L805" t="s">
        <v>1513</v>
      </c>
    </row>
    <row hidden="1" r="806" s="1" spans="1:12">
      <c r="A806" s="4" t="n">
        <v>43129</v>
      </c>
      <c r="B806" t="s">
        <v>174</v>
      </c>
      <c r="C806" t="s">
        <v>80</v>
      </c>
      <c r="D806" t="s">
        <v>22</v>
      </c>
      <c r="E806" t="s">
        <v>15</v>
      </c>
      <c r="F806" t="s">
        <v>28</v>
      </c>
      <c r="G806" t="s">
        <v>185</v>
      </c>
      <c r="H806">
        <f>HYPERLINK("https://www.jouwictvacature.nl/solliciteren?job=senior-java-full-stack-developer-bij-dpa-geos-bij-dpa-2", "Link")</f>
        <v/>
      </c>
      <c r="I806" t="s">
        <v>17</v>
      </c>
      <c r="J806" t="s">
        <v>18</v>
      </c>
      <c r="K806" t="s">
        <v>176</v>
      </c>
      <c r="L806" t="s">
        <v>840</v>
      </c>
    </row>
    <row hidden="1" r="807" s="1" spans="1:12">
      <c r="A807" s="4" t="n">
        <v>43129</v>
      </c>
      <c r="B807" t="s">
        <v>174</v>
      </c>
      <c r="C807" t="s">
        <v>80</v>
      </c>
      <c r="D807" t="s">
        <v>22</v>
      </c>
      <c r="E807" t="s">
        <v>15</v>
      </c>
      <c r="F807" t="s">
        <v>52</v>
      </c>
      <c r="G807" t="s">
        <v>190</v>
      </c>
      <c r="H807">
        <f>HYPERLINK("https://www.jouwictvacature.nl/solliciteren?job=medior-java-developer-bij-dpa-geos-bij-dpa-geos", "Link")</f>
        <v/>
      </c>
      <c r="I807" t="s">
        <v>17</v>
      </c>
      <c r="J807" t="s">
        <v>18</v>
      </c>
      <c r="K807" t="s">
        <v>176</v>
      </c>
      <c r="L807" t="s">
        <v>191</v>
      </c>
    </row>
    <row hidden="1" r="808" s="1" spans="1:12">
      <c r="A808" s="4" t="n">
        <v>43129</v>
      </c>
      <c r="B808" t="s">
        <v>693</v>
      </c>
      <c r="C808" t="s">
        <v>694</v>
      </c>
      <c r="D808" t="s">
        <v>22</v>
      </c>
      <c r="E808" t="s">
        <v>15</v>
      </c>
      <c r="F808" t="s">
        <v>16</v>
      </c>
      <c r="G808" t="s">
        <v>693</v>
      </c>
      <c r="H808">
        <f>HYPERLINK("https://www.jouwictvacature.nl/solliciteren?job=senior-mendix-ontwikkelaar-", "Link")</f>
        <v/>
      </c>
      <c r="I808" t="s">
        <v>17</v>
      </c>
      <c r="J808" t="s">
        <v>18</v>
      </c>
      <c r="K808" t="s">
        <v>695</v>
      </c>
      <c r="L808" t="s">
        <v>696</v>
      </c>
    </row>
    <row hidden="1" r="809" s="1" spans="1:12">
      <c r="A809" s="4" t="n">
        <v>43129</v>
      </c>
      <c r="B809" t="s">
        <v>1377</v>
      </c>
      <c r="C809" t="s">
        <v>1378</v>
      </c>
      <c r="D809" t="s">
        <v>22</v>
      </c>
      <c r="E809" t="s">
        <v>15</v>
      </c>
      <c r="F809" t="s">
        <v>52</v>
      </c>
      <c r="G809" t="s">
        <v>1514</v>
      </c>
      <c r="H809">
        <f>HYPERLINK("https://www.jouwictvacature.nl/solliciteren?job=medior-developer-bij-gappless--java-spring-boot-javascript-postgresql-", "Link")</f>
        <v/>
      </c>
      <c r="I809" t="s">
        <v>17</v>
      </c>
      <c r="J809" t="s">
        <v>18</v>
      </c>
      <c r="K809" t="s">
        <v>1380</v>
      </c>
      <c r="L809" t="s">
        <v>1515</v>
      </c>
    </row>
    <row hidden="1" r="810" s="1" spans="1:12">
      <c r="A810" s="4" t="n">
        <v>43129</v>
      </c>
      <c r="B810" t="s">
        <v>382</v>
      </c>
      <c r="C810" t="s">
        <v>274</v>
      </c>
      <c r="D810" t="s">
        <v>14</v>
      </c>
      <c r="E810" t="s">
        <v>15</v>
      </c>
      <c r="F810" t="s">
        <v>16</v>
      </c>
      <c r="G810" t="s">
        <v>382</v>
      </c>
      <c r="H810">
        <f>HYPERLINK("https://www.jouwictvacature.nl/solliciteren?job=full-stack-developer-olie-industrie-bij-ortec", "Link")</f>
        <v/>
      </c>
      <c r="I810" t="s">
        <v>17</v>
      </c>
      <c r="J810" t="s">
        <v>18</v>
      </c>
      <c r="K810" t="s">
        <v>1516</v>
      </c>
      <c r="L810" t="s">
        <v>1517</v>
      </c>
    </row>
    <row hidden="1" r="811" s="1" spans="1:12">
      <c r="A811" s="4" t="n">
        <v>43129</v>
      </c>
      <c r="B811" t="s">
        <v>455</v>
      </c>
      <c r="C811" t="s">
        <v>45</v>
      </c>
      <c r="D811" t="s">
        <v>245</v>
      </c>
      <c r="E811" t="s">
        <v>15</v>
      </c>
      <c r="F811" t="s">
        <v>52</v>
      </c>
      <c r="G811" t="s">
        <v>1518</v>
      </c>
      <c r="H811">
        <f>HYPERLINK("https://www.jouwictvacature.nl/solliciteren?job=microsoft-sharepoint-specialist-bij-sogeti-5", "Link")</f>
        <v/>
      </c>
      <c r="I811" t="s">
        <v>17</v>
      </c>
      <c r="J811" t="s">
        <v>18</v>
      </c>
      <c r="K811" t="s">
        <v>458</v>
      </c>
      <c r="L811" t="s">
        <v>1519</v>
      </c>
    </row>
    <row hidden="1" r="812" s="1" spans="1:12">
      <c r="A812" s="4" t="n">
        <v>43129</v>
      </c>
      <c r="B812" t="s">
        <v>455</v>
      </c>
      <c r="C812" t="s">
        <v>45</v>
      </c>
      <c r="D812" t="s">
        <v>245</v>
      </c>
      <c r="E812" t="s">
        <v>15</v>
      </c>
      <c r="F812" t="s">
        <v>16</v>
      </c>
      <c r="G812" t="s">
        <v>934</v>
      </c>
      <c r="H812">
        <f>HYPERLINK("https://www.jouwictvacature.nl/solliciteren?job=young-professional-microsoft-net-bij-sogeti-6", "Link")</f>
        <v/>
      </c>
      <c r="I812" t="s">
        <v>17</v>
      </c>
      <c r="J812" t="s">
        <v>18</v>
      </c>
      <c r="K812" t="s">
        <v>935</v>
      </c>
      <c r="L812" t="s">
        <v>936</v>
      </c>
    </row>
    <row hidden="1" r="813" s="1" spans="1:12">
      <c r="A813" s="4" t="n">
        <v>43129</v>
      </c>
      <c r="B813" t="s">
        <v>313</v>
      </c>
      <c r="C813" t="s">
        <v>62</v>
      </c>
      <c r="D813" t="s">
        <v>14</v>
      </c>
      <c r="E813" t="s">
        <v>15</v>
      </c>
      <c r="F813" t="s">
        <v>28</v>
      </c>
      <c r="G813" t="s">
        <v>314</v>
      </c>
      <c r="H813">
        <f>HYPERLINK("https://www.jouwictvacature.nl/solliciteren?job=medior-net-developer--werken-voor-klanten-als-kpn-ns-sanoma-media-en-e", "Link")</f>
        <v/>
      </c>
      <c r="I813" t="s">
        <v>17</v>
      </c>
      <c r="J813" t="s">
        <v>18</v>
      </c>
      <c r="K813" t="s">
        <v>315</v>
      </c>
      <c r="L813" t="s">
        <v>316</v>
      </c>
    </row>
    <row hidden="1" r="814" s="1" spans="1:12">
      <c r="A814" s="4" t="n">
        <v>43129</v>
      </c>
      <c r="B814" t="s">
        <v>151</v>
      </c>
      <c r="C814" t="s">
        <v>152</v>
      </c>
      <c r="D814" t="s">
        <v>22</v>
      </c>
      <c r="E814" t="s">
        <v>15</v>
      </c>
      <c r="F814" t="s">
        <v>28</v>
      </c>
      <c r="G814" t="s">
        <v>153</v>
      </c>
      <c r="H814">
        <f>HYPERLINK("https://www.jouwictvacature.nl/solliciteren?job=senior-agile-tester-3", "Link")</f>
        <v/>
      </c>
      <c r="I814" t="s">
        <v>17</v>
      </c>
      <c r="J814" t="s">
        <v>18</v>
      </c>
      <c r="K814" t="s">
        <v>154</v>
      </c>
      <c r="L814" t="s">
        <v>155</v>
      </c>
    </row>
    <row hidden="1" r="815" s="1" spans="1:12">
      <c r="A815" s="4" t="n">
        <v>43129</v>
      </c>
      <c r="B815" t="s">
        <v>455</v>
      </c>
      <c r="C815" t="s">
        <v>38</v>
      </c>
      <c r="D815" t="s">
        <v>245</v>
      </c>
      <c r="E815" t="s">
        <v>15</v>
      </c>
      <c r="F815" t="s">
        <v>16</v>
      </c>
      <c r="G815" t="s">
        <v>1520</v>
      </c>
      <c r="H815">
        <f>HYPERLINK("https://www.jouwictvacature.nl/solliciteren?job=young-professional-microsoft-net-bij-sogeti-5", "Link")</f>
        <v/>
      </c>
      <c r="I815" t="s">
        <v>17</v>
      </c>
      <c r="J815" t="s">
        <v>18</v>
      </c>
      <c r="K815" t="s">
        <v>935</v>
      </c>
      <c r="L815" t="s">
        <v>1521</v>
      </c>
    </row>
    <row hidden="1" r="816" s="1" spans="1:12">
      <c r="A816" s="4" t="n">
        <v>43129</v>
      </c>
      <c r="B816" t="s">
        <v>308</v>
      </c>
      <c r="C816" t="s">
        <v>309</v>
      </c>
      <c r="D816" t="s">
        <v>14</v>
      </c>
      <c r="E816" t="s">
        <v>15</v>
      </c>
      <c r="F816" t="s">
        <v>52</v>
      </c>
      <c r="G816" t="s">
        <v>1522</v>
      </c>
      <c r="H816">
        <f>HYPERLINK("https://www.jouwictvacature.nl/solliciteren?job=medior-cnet-developer-bij-marketgraph", "Link")</f>
        <v/>
      </c>
      <c r="I816" t="s">
        <v>17</v>
      </c>
      <c r="J816" t="s">
        <v>18</v>
      </c>
      <c r="K816" t="s">
        <v>311</v>
      </c>
      <c r="L816" t="s">
        <v>1523</v>
      </c>
    </row>
    <row hidden="1" r="817" s="1" spans="1:12">
      <c r="A817" s="4" t="n">
        <v>43130</v>
      </c>
      <c r="B817" t="s">
        <v>455</v>
      </c>
      <c r="C817" t="s">
        <v>460</v>
      </c>
      <c r="D817" t="s">
        <v>245</v>
      </c>
      <c r="E817" t="s">
        <v>15</v>
      </c>
      <c r="F817" t="s">
        <v>28</v>
      </c>
      <c r="G817" t="s">
        <v>932</v>
      </c>
      <c r="H817">
        <f>HYPERLINK("https://www.jouwictvacature.nl/solliciteren?job=medior-microsoft-sharepoint-specialist-bij-sogeti-6", "Link")</f>
        <v/>
      </c>
      <c r="I817" t="s">
        <v>17</v>
      </c>
      <c r="J817" t="s">
        <v>18</v>
      </c>
      <c r="K817" t="s">
        <v>458</v>
      </c>
      <c r="L817" t="s">
        <v>933</v>
      </c>
    </row>
    <row hidden="1" r="818" s="1" spans="1:12">
      <c r="A818" s="4" t="n">
        <v>43129</v>
      </c>
      <c r="B818" t="s">
        <v>196</v>
      </c>
      <c r="C818" t="s">
        <v>197</v>
      </c>
      <c r="D818" t="s">
        <v>22</v>
      </c>
      <c r="E818" t="s">
        <v>15</v>
      </c>
      <c r="F818" t="s">
        <v>28</v>
      </c>
      <c r="G818" t="s">
        <v>205</v>
      </c>
      <c r="H818">
        <f>HYPERLINK("https://www.jouwictvacature.nl/solliciteren?job=senior-c-net--reactjs-developer-bij-easyads-inhouse", "Link")</f>
        <v/>
      </c>
      <c r="I818" t="s">
        <v>17</v>
      </c>
      <c r="J818" t="s">
        <v>18</v>
      </c>
      <c r="K818" t="s">
        <v>199</v>
      </c>
      <c r="L818" t="s">
        <v>206</v>
      </c>
    </row>
    <row hidden="1" r="819" s="1" spans="1:12">
      <c r="A819" s="4" t="n">
        <v>43129</v>
      </c>
      <c r="B819" t="s">
        <v>618</v>
      </c>
      <c r="C819" t="s">
        <v>619</v>
      </c>
      <c r="D819" t="s">
        <v>22</v>
      </c>
      <c r="E819" t="s">
        <v>15</v>
      </c>
      <c r="F819" t="s">
        <v>34</v>
      </c>
      <c r="G819" t="s">
        <v>1233</v>
      </c>
      <c r="H819">
        <f>HYPERLINK("https://www.jouwictvacature.nl/solliciteren?job=medior-developer-net-applicaties-voor-mooie-klanten-als-de-efteling--n", "Link")</f>
        <v/>
      </c>
      <c r="I819" t="s">
        <v>17</v>
      </c>
      <c r="J819" t="s">
        <v>18</v>
      </c>
      <c r="K819" t="s">
        <v>621</v>
      </c>
      <c r="L819" t="s">
        <v>1234</v>
      </c>
    </row>
    <row hidden="1" r="820" s="1" spans="1:12">
      <c r="A820" s="4" t="n">
        <v>43129</v>
      </c>
      <c r="B820" t="s">
        <v>278</v>
      </c>
      <c r="C820" t="s">
        <v>279</v>
      </c>
      <c r="D820" t="s">
        <v>14</v>
      </c>
      <c r="E820" t="s">
        <v>15</v>
      </c>
      <c r="F820" t="s">
        <v>16</v>
      </c>
      <c r="G820" t="s">
        <v>650</v>
      </c>
      <c r="H820">
        <f>HYPERLINK("https://www.jouwictvacature.nl/solliciteren?job=php--magento-developer-bij-topwerkgever", "Link")</f>
        <v/>
      </c>
      <c r="I820" t="s">
        <v>17</v>
      </c>
      <c r="J820" t="s">
        <v>18</v>
      </c>
      <c r="K820" t="s">
        <v>651</v>
      </c>
      <c r="L820" t="s">
        <v>652</v>
      </c>
    </row>
    <row hidden="1" r="821" s="1" spans="1:12">
      <c r="A821" s="4" t="n">
        <v>43130</v>
      </c>
      <c r="B821" t="s">
        <v>455</v>
      </c>
      <c r="C821" t="s">
        <v>38</v>
      </c>
      <c r="D821" t="s">
        <v>245</v>
      </c>
      <c r="E821" t="s">
        <v>15</v>
      </c>
      <c r="F821" t="s">
        <v>28</v>
      </c>
      <c r="G821" t="s">
        <v>1129</v>
      </c>
      <c r="H821">
        <f>HYPERLINK("https://www.jouwictvacature.nl/solliciteren?job=medior-net-engineer-bij-sogeti-2", "Link")</f>
        <v/>
      </c>
      <c r="I821" t="s">
        <v>17</v>
      </c>
      <c r="J821" t="s">
        <v>18</v>
      </c>
      <c r="K821" t="s">
        <v>1130</v>
      </c>
      <c r="L821" t="s">
        <v>1131</v>
      </c>
    </row>
    <row hidden="1" r="822" s="1" spans="1:12">
      <c r="A822" s="4" t="n">
        <v>43130</v>
      </c>
      <c r="B822" t="s">
        <v>455</v>
      </c>
      <c r="C822" t="s">
        <v>38</v>
      </c>
      <c r="D822" t="s">
        <v>245</v>
      </c>
      <c r="E822" t="s">
        <v>15</v>
      </c>
      <c r="F822" t="s">
        <v>28</v>
      </c>
      <c r="G822" t="s">
        <v>1129</v>
      </c>
      <c r="H822">
        <f>HYPERLINK("https://www.jouwictvacature.nl/solliciteren?job=medior-net-engineer-bij-sogeti-2", "Link")</f>
        <v/>
      </c>
      <c r="I822" t="s">
        <v>17</v>
      </c>
      <c r="J822" t="s">
        <v>18</v>
      </c>
      <c r="K822" t="s">
        <v>1130</v>
      </c>
      <c r="L822" t="s">
        <v>1131</v>
      </c>
    </row>
    <row hidden="1" r="823" s="1" spans="1:12">
      <c r="A823" s="4" t="n">
        <v>43132</v>
      </c>
      <c r="B823" t="s">
        <v>455</v>
      </c>
      <c r="C823" t="s">
        <v>456</v>
      </c>
      <c r="D823" t="s">
        <v>245</v>
      </c>
      <c r="E823" t="s">
        <v>15</v>
      </c>
      <c r="F823" t="s">
        <v>16</v>
      </c>
      <c r="G823" t="s">
        <v>472</v>
      </c>
      <c r="H823">
        <f>HYPERLINK("https://www.jouwictvacature.nl/solliciteren?job=net-lead-engineer-bij-sogeti", "Link")</f>
        <v/>
      </c>
      <c r="I823" t="s">
        <v>17</v>
      </c>
      <c r="J823" t="s">
        <v>18</v>
      </c>
      <c r="K823" t="s">
        <v>466</v>
      </c>
      <c r="L823" t="s">
        <v>473</v>
      </c>
    </row>
    <row hidden="1" r="824" s="1" spans="1:12">
      <c r="A824" s="4" t="n">
        <v>43129</v>
      </c>
      <c r="B824" t="s">
        <v>317</v>
      </c>
      <c r="C824" t="s">
        <v>45</v>
      </c>
      <c r="D824" t="s">
        <v>14</v>
      </c>
      <c r="E824" t="s">
        <v>15</v>
      </c>
      <c r="F824" t="s">
        <v>34</v>
      </c>
      <c r="G824" t="s">
        <v>363</v>
      </c>
      <c r="H824">
        <f>HYPERLINK("https://www.jouwictvacature.nl/solliciteren?job=junior-javascript-developer-3", "Link")</f>
        <v/>
      </c>
      <c r="I824" t="s">
        <v>17</v>
      </c>
      <c r="J824" t="s">
        <v>18</v>
      </c>
      <c r="K824" t="s">
        <v>319</v>
      </c>
      <c r="L824" t="s">
        <v>1025</v>
      </c>
    </row>
    <row hidden="1" r="825" s="1" spans="1:12">
      <c r="A825" s="4" t="n">
        <v>43129</v>
      </c>
      <c r="B825" t="s">
        <v>342</v>
      </c>
      <c r="C825" t="s">
        <v>309</v>
      </c>
      <c r="D825" t="s">
        <v>14</v>
      </c>
      <c r="E825" t="s">
        <v>15</v>
      </c>
      <c r="F825" t="s">
        <v>16</v>
      </c>
      <c r="G825" t="s">
        <v>790</v>
      </c>
      <c r="H825">
        <f>HYPERLINK("https://www.jouwictvacature.nl/solliciteren?job=magento-developer-bij-muntz", "Link")</f>
        <v/>
      </c>
      <c r="I825" t="s">
        <v>17</v>
      </c>
      <c r="J825" t="s">
        <v>18</v>
      </c>
      <c r="K825" t="s">
        <v>791</v>
      </c>
      <c r="L825" t="s">
        <v>792</v>
      </c>
    </row>
    <row hidden="1" r="826" s="1" spans="1:12">
      <c r="A826" s="4" t="n">
        <v>43132</v>
      </c>
      <c r="B826" t="s">
        <v>455</v>
      </c>
      <c r="C826" t="s">
        <v>309</v>
      </c>
      <c r="D826" t="s">
        <v>245</v>
      </c>
      <c r="E826" t="s">
        <v>15</v>
      </c>
      <c r="F826" t="s">
        <v>28</v>
      </c>
      <c r="G826" t="s">
        <v>1204</v>
      </c>
      <c r="H826">
        <f>HYPERLINK("https://www.jouwictvacature.nl/solliciteren?job=medior-microsoft-sharepoint-specialist-bij-sogeti-5", "Link")</f>
        <v/>
      </c>
      <c r="I826" t="s">
        <v>17</v>
      </c>
      <c r="J826" t="s">
        <v>18</v>
      </c>
      <c r="K826" t="s">
        <v>458</v>
      </c>
      <c r="L826" t="s">
        <v>1205</v>
      </c>
    </row>
    <row hidden="1" r="827" s="1" spans="1:12">
      <c r="A827" s="4" t="n">
        <v>43129</v>
      </c>
      <c r="B827" t="s">
        <v>26</v>
      </c>
      <c r="C827" t="s">
        <v>27</v>
      </c>
      <c r="D827" t="s">
        <v>22</v>
      </c>
      <c r="E827" t="s">
        <v>15</v>
      </c>
      <c r="F827" t="s">
        <v>52</v>
      </c>
      <c r="G827" t="s">
        <v>1524</v>
      </c>
      <c r="H827">
        <f>HYPERLINK("https://www.jouwictvacature.nl/solliciteren?job=medior-php-back-end-developer-bij-aan-zee-communicatie", "Link")</f>
        <v/>
      </c>
      <c r="I827" t="s">
        <v>17</v>
      </c>
      <c r="J827" t="s">
        <v>18</v>
      </c>
      <c r="K827" t="s">
        <v>30</v>
      </c>
      <c r="L827" t="s">
        <v>1525</v>
      </c>
    </row>
    <row hidden="1" r="828" s="1" spans="1:12">
      <c r="A828" s="4" t="n">
        <v>43132</v>
      </c>
      <c r="B828" t="s">
        <v>455</v>
      </c>
      <c r="C828" t="s">
        <v>460</v>
      </c>
      <c r="D828" t="s">
        <v>245</v>
      </c>
      <c r="E828" t="s">
        <v>15</v>
      </c>
      <c r="F828" t="s">
        <v>16</v>
      </c>
      <c r="G828" t="s">
        <v>1526</v>
      </c>
      <c r="H828">
        <f>HYPERLINK("https://www.jouwictvacature.nl/solliciteren?job=net-lead-engineer-bij-sogeti-4", "Link")</f>
        <v/>
      </c>
      <c r="I828" t="s">
        <v>17</v>
      </c>
      <c r="J828" t="s">
        <v>18</v>
      </c>
      <c r="K828" t="s">
        <v>466</v>
      </c>
      <c r="L828" t="s">
        <v>1527</v>
      </c>
    </row>
    <row hidden="1" r="829" s="1" spans="1:12">
      <c r="A829" s="4" t="n">
        <v>43129</v>
      </c>
      <c r="B829" t="s">
        <v>26</v>
      </c>
      <c r="C829" t="s">
        <v>27</v>
      </c>
      <c r="D829" t="s">
        <v>22</v>
      </c>
      <c r="E829" t="s">
        <v>15</v>
      </c>
      <c r="F829" t="s">
        <v>34</v>
      </c>
      <c r="G829" t="s">
        <v>793</v>
      </c>
      <c r="H829">
        <f>HYPERLINK("https://www.jouwictvacature.nl/solliciteren?job=junior-laravel-developer-bij-aan-zee-communicatie", "Link")</f>
        <v/>
      </c>
      <c r="I829" t="s">
        <v>17</v>
      </c>
      <c r="J829" t="s">
        <v>18</v>
      </c>
      <c r="K829" t="s">
        <v>30</v>
      </c>
      <c r="L829" t="s">
        <v>794</v>
      </c>
    </row>
    <row hidden="1" r="830" s="1" spans="1:12">
      <c r="A830" s="4" t="n">
        <v>43132</v>
      </c>
      <c r="B830" t="s">
        <v>455</v>
      </c>
      <c r="C830" t="s">
        <v>456</v>
      </c>
      <c r="D830" t="s">
        <v>245</v>
      </c>
      <c r="E830" t="s">
        <v>15</v>
      </c>
      <c r="F830" t="s">
        <v>28</v>
      </c>
      <c r="G830" t="s">
        <v>614</v>
      </c>
      <c r="H830">
        <f>HYPERLINK("https://www.jouwictvacature.nl/solliciteren?job=medior-net-engineer-bij-sogeti", "Link")</f>
        <v/>
      </c>
      <c r="I830" t="s">
        <v>17</v>
      </c>
      <c r="J830" t="s">
        <v>18</v>
      </c>
      <c r="K830" t="s">
        <v>466</v>
      </c>
      <c r="L830" t="s">
        <v>615</v>
      </c>
    </row>
    <row hidden="1" r="831" s="1" spans="1:12">
      <c r="A831" s="4" t="n">
        <v>43129</v>
      </c>
      <c r="B831" t="s">
        <v>227</v>
      </c>
      <c r="C831" t="s">
        <v>76</v>
      </c>
      <c r="D831" t="s">
        <v>22</v>
      </c>
      <c r="E831" t="s">
        <v>15</v>
      </c>
      <c r="F831" t="s">
        <v>16</v>
      </c>
      <c r="G831" t="s">
        <v>227</v>
      </c>
      <c r="H831">
        <f>HYPERLINK("https://www.jouwictvacature.nl/solliciteren?job=senior-front-end-developer-bij-hulst-computer-systems-bij-hulst-comput", "Link")</f>
        <v/>
      </c>
      <c r="I831" t="s">
        <v>17</v>
      </c>
      <c r="J831" t="s">
        <v>18</v>
      </c>
      <c r="K831" t="s">
        <v>228</v>
      </c>
      <c r="L831" t="s">
        <v>229</v>
      </c>
    </row>
    <row hidden="1" r="832" s="1" spans="1:12">
      <c r="A832" s="4" t="n">
        <v>43132</v>
      </c>
      <c r="B832" t="s">
        <v>455</v>
      </c>
      <c r="C832" t="s">
        <v>460</v>
      </c>
      <c r="D832" t="s">
        <v>245</v>
      </c>
      <c r="E832" t="s">
        <v>15</v>
      </c>
      <c r="F832" t="s">
        <v>16</v>
      </c>
      <c r="G832" t="s">
        <v>470</v>
      </c>
      <c r="H832">
        <f>HYPERLINK("https://www.jouwictvacature.nl/solliciteren?job=senior-net-engineer-bij-sogeti", "Link")</f>
        <v/>
      </c>
      <c r="I832" t="s">
        <v>17</v>
      </c>
      <c r="J832" t="s">
        <v>18</v>
      </c>
      <c r="K832" t="s">
        <v>466</v>
      </c>
      <c r="L832" t="s">
        <v>471</v>
      </c>
    </row>
    <row hidden="1" r="833" s="1" spans="1:12">
      <c r="A833" s="4" t="n">
        <v>43129</v>
      </c>
      <c r="B833" t="s">
        <v>37</v>
      </c>
      <c r="C833" t="s">
        <v>38</v>
      </c>
      <c r="D833" t="s">
        <v>22</v>
      </c>
      <c r="E833" t="s">
        <v>15</v>
      </c>
      <c r="F833" t="s">
        <v>52</v>
      </c>
      <c r="G833" t="s">
        <v>1125</v>
      </c>
      <c r="H833">
        <f>HYPERLINK("https://www.jouwictvacature.nl/solliciteren?job=medior-javascript-developer-bij-advitrae", "Link")</f>
        <v/>
      </c>
      <c r="I833" t="s">
        <v>17</v>
      </c>
      <c r="J833" t="s">
        <v>18</v>
      </c>
      <c r="K833" t="s">
        <v>40</v>
      </c>
      <c r="L833" t="s">
        <v>1126</v>
      </c>
    </row>
    <row hidden="1" r="834" s="1" spans="1:12">
      <c r="A834" s="4" t="n">
        <v>43129</v>
      </c>
      <c r="B834" t="s">
        <v>1251</v>
      </c>
      <c r="C834" t="s">
        <v>1252</v>
      </c>
      <c r="D834" t="s">
        <v>14</v>
      </c>
      <c r="E834" t="s">
        <v>15</v>
      </c>
      <c r="F834" t="s">
        <v>16</v>
      </c>
      <c r="G834" t="s">
        <v>1251</v>
      </c>
      <c r="H834">
        <f>HYPERLINK("https://www.jouwictvacature.nl/solliciteren?job=technical-team-lead-bij-indi-in-leek-2", "Link")</f>
        <v/>
      </c>
      <c r="I834" t="s">
        <v>17</v>
      </c>
      <c r="J834" t="s">
        <v>18</v>
      </c>
      <c r="K834" t="s">
        <v>1253</v>
      </c>
      <c r="L834" t="s">
        <v>1254</v>
      </c>
    </row>
    <row hidden="1" r="835" s="1" spans="1:12">
      <c r="A835" s="4" t="n">
        <v>43129</v>
      </c>
      <c r="B835" t="s">
        <v>136</v>
      </c>
      <c r="C835" t="s">
        <v>137</v>
      </c>
      <c r="D835" t="s">
        <v>22</v>
      </c>
      <c r="E835" t="s">
        <v>15</v>
      </c>
      <c r="F835" t="s">
        <v>16</v>
      </c>
      <c r="G835" t="s">
        <v>138</v>
      </c>
      <c r="H835">
        <f>HYPERLINK("https://www.jouwictvacature.nl/solliciteren?job=software-developer-bij-cgi-2", "Link")</f>
        <v/>
      </c>
      <c r="I835" t="s">
        <v>17</v>
      </c>
      <c r="J835" t="s">
        <v>18</v>
      </c>
      <c r="K835" t="s">
        <v>139</v>
      </c>
      <c r="L835" t="s">
        <v>1317</v>
      </c>
    </row>
    <row r="836" spans="1:12">
      <c r="A836" s="4" t="n">
        <v>43129</v>
      </c>
      <c r="B836" t="s">
        <v>1453</v>
      </c>
      <c r="C836" t="s">
        <v>93</v>
      </c>
      <c r="D836" t="s">
        <v>14</v>
      </c>
      <c r="E836" t="s">
        <v>51</v>
      </c>
      <c r="F836" t="s">
        <v>52</v>
      </c>
      <c r="G836" t="s">
        <v>1528</v>
      </c>
      <c r="H836">
        <f>HYPERLINK("https://www.jouwictvacature.nl/solliciteren?job=medior-full-stack-developer-bij-lequest", "Link")</f>
        <v/>
      </c>
      <c r="I836" t="s">
        <v>17</v>
      </c>
      <c r="J836" t="s">
        <v>18</v>
      </c>
      <c r="K836" t="s">
        <v>1529</v>
      </c>
      <c r="L836" t="s">
        <v>1530</v>
      </c>
    </row>
    <row hidden="1" r="837" s="1" spans="1:12">
      <c r="A837" s="4" t="n">
        <v>43129</v>
      </c>
      <c r="B837" t="s">
        <v>668</v>
      </c>
      <c r="C837" t="s">
        <v>522</v>
      </c>
      <c r="D837" t="s">
        <v>22</v>
      </c>
      <c r="E837" t="s">
        <v>15</v>
      </c>
      <c r="F837" t="s">
        <v>16</v>
      </c>
      <c r="G837" t="s">
        <v>668</v>
      </c>
      <c r="H837">
        <f>HYPERLINK("https://www.jouwictvacature.nl/solliciteren?job=senior-front-end-developer-bij-bizzdesign-bij-bizzdesign", "Link")</f>
        <v/>
      </c>
      <c r="I837" t="s">
        <v>17</v>
      </c>
      <c r="J837" t="s">
        <v>18</v>
      </c>
      <c r="K837" t="s">
        <v>669</v>
      </c>
      <c r="L837" t="s">
        <v>1531</v>
      </c>
    </row>
    <row hidden="1" r="838" s="1" spans="1:12">
      <c r="A838" s="4" t="n">
        <v>43129</v>
      </c>
      <c r="B838" t="s">
        <v>1484</v>
      </c>
      <c r="C838" t="s">
        <v>1027</v>
      </c>
      <c r="D838" t="s">
        <v>22</v>
      </c>
      <c r="E838" t="s">
        <v>15</v>
      </c>
      <c r="F838" t="s">
        <v>16</v>
      </c>
      <c r="G838" t="s">
        <v>1484</v>
      </c>
      <c r="H838">
        <f>HYPERLINK("https://www.jouwictvacature.nl/solliciteren?job=fullstack-developer-met-reactjs-ervaring-bij-flexkids", "Link")</f>
        <v/>
      </c>
      <c r="I838" t="s">
        <v>17</v>
      </c>
      <c r="J838" t="s">
        <v>18</v>
      </c>
      <c r="K838" t="s">
        <v>1485</v>
      </c>
      <c r="L838" t="s">
        <v>1486</v>
      </c>
    </row>
    <row hidden="1" r="839" s="1" spans="1:12">
      <c r="A839" s="4" t="n">
        <v>43129</v>
      </c>
      <c r="B839" t="s">
        <v>1099</v>
      </c>
      <c r="C839" t="s">
        <v>1100</v>
      </c>
      <c r="D839" t="s">
        <v>22</v>
      </c>
      <c r="E839" t="s">
        <v>15</v>
      </c>
      <c r="F839" t="s">
        <v>52</v>
      </c>
      <c r="G839" t="s">
        <v>1125</v>
      </c>
      <c r="H839">
        <f>HYPERLINK("https://www.jouwictvacature.nl/solliciteren?job=medior-javascript-developer-bij-funatic", "Link")</f>
        <v/>
      </c>
      <c r="I839" t="s">
        <v>17</v>
      </c>
      <c r="J839" t="s">
        <v>18</v>
      </c>
      <c r="K839" t="s">
        <v>1102</v>
      </c>
      <c r="L839" t="s">
        <v>1532</v>
      </c>
    </row>
    <row hidden="1" r="840" s="1" spans="1:12">
      <c r="A840" s="4" t="n">
        <v>43132</v>
      </c>
      <c r="B840" t="s">
        <v>455</v>
      </c>
      <c r="C840" t="s">
        <v>38</v>
      </c>
      <c r="D840" t="s">
        <v>245</v>
      </c>
      <c r="E840" t="s">
        <v>15</v>
      </c>
      <c r="F840" t="s">
        <v>16</v>
      </c>
      <c r="G840" t="s">
        <v>1533</v>
      </c>
      <c r="H840">
        <f>HYPERLINK("https://www.jouwictvacature.nl/solliciteren?job=senior-net-engineer-bij-sogeti-5", "Link")</f>
        <v/>
      </c>
      <c r="I840" t="s">
        <v>17</v>
      </c>
      <c r="J840" t="s">
        <v>18</v>
      </c>
      <c r="K840" t="s">
        <v>1130</v>
      </c>
      <c r="L840" t="s">
        <v>1534</v>
      </c>
    </row>
    <row hidden="1" r="841" s="1" spans="1:12">
      <c r="A841" s="4" t="n">
        <v>43130</v>
      </c>
      <c r="B841" t="s">
        <v>71</v>
      </c>
      <c r="C841" t="s">
        <v>62</v>
      </c>
      <c r="D841" t="s">
        <v>22</v>
      </c>
      <c r="E841" t="s">
        <v>15</v>
      </c>
      <c r="F841" t="s">
        <v>52</v>
      </c>
      <c r="G841" t="s">
        <v>1535</v>
      </c>
      <c r="H841">
        <f>HYPERLINK("https://www.jouwictvacature.nl/solliciteren?job=medior-testanalist-bij-bartosz-bij-bartosz-utrecht", "Link")</f>
        <v/>
      </c>
      <c r="I841" t="s">
        <v>17</v>
      </c>
      <c r="J841" t="s">
        <v>18</v>
      </c>
      <c r="K841" t="s">
        <v>95</v>
      </c>
      <c r="L841" t="s">
        <v>1536</v>
      </c>
    </row>
    <row hidden="1" r="842" s="1" spans="1:12">
      <c r="A842" s="4" t="n">
        <v>43130</v>
      </c>
      <c r="B842" t="s">
        <v>1217</v>
      </c>
      <c r="C842" t="s">
        <v>137</v>
      </c>
      <c r="D842" t="s">
        <v>22</v>
      </c>
      <c r="E842" t="s">
        <v>15</v>
      </c>
      <c r="F842" t="s">
        <v>16</v>
      </c>
      <c r="G842" t="s">
        <v>1217</v>
      </c>
      <c r="H842">
        <f>HYPERLINK("https://www.jouwictvacature.nl/solliciteren?job=medior-java-en-webdeveloper", "Link")</f>
        <v/>
      </c>
      <c r="I842" t="s">
        <v>17</v>
      </c>
      <c r="J842" t="s">
        <v>18</v>
      </c>
      <c r="K842" t="s">
        <v>1218</v>
      </c>
      <c r="L842" t="s">
        <v>1537</v>
      </c>
    </row>
    <row hidden="1" r="843" s="1" spans="1:12">
      <c r="A843" s="4" t="n">
        <v>43130</v>
      </c>
      <c r="B843" t="s">
        <v>174</v>
      </c>
      <c r="C843" t="s">
        <v>38</v>
      </c>
      <c r="D843" t="s">
        <v>22</v>
      </c>
      <c r="E843" t="s">
        <v>15</v>
      </c>
      <c r="F843" t="s">
        <v>28</v>
      </c>
      <c r="G843" t="s">
        <v>671</v>
      </c>
      <c r="H843">
        <f>HYPERLINK("https://www.jouwictvacature.nl/solliciteren?job=senior-java-full-stack-developer-bij-dpa-geos-bij-dpa-3", "Link")</f>
        <v/>
      </c>
      <c r="I843" t="s">
        <v>17</v>
      </c>
      <c r="J843" t="s">
        <v>18</v>
      </c>
      <c r="K843" t="s">
        <v>176</v>
      </c>
      <c r="L843" t="s">
        <v>842</v>
      </c>
    </row>
    <row hidden="1" r="844" s="1" spans="1:12">
      <c r="A844" s="4" t="n">
        <v>43130</v>
      </c>
      <c r="B844" t="s">
        <v>378</v>
      </c>
      <c r="C844" t="s">
        <v>309</v>
      </c>
      <c r="D844" t="s">
        <v>14</v>
      </c>
      <c r="E844" t="s">
        <v>15</v>
      </c>
      <c r="F844" t="s">
        <v>16</v>
      </c>
      <c r="G844" t="s">
        <v>929</v>
      </c>
      <c r="H844">
        <f>HYPERLINK("https://www.jouwictvacature.nl/solliciteren?job=stageopdracht-opensuite-op-sharepoint-bij-opensatisfaction", "Link")</f>
        <v/>
      </c>
      <c r="I844" t="s">
        <v>17</v>
      </c>
      <c r="J844" t="s">
        <v>18</v>
      </c>
      <c r="K844" t="s">
        <v>930</v>
      </c>
      <c r="L844" t="s">
        <v>931</v>
      </c>
    </row>
    <row hidden="1" r="845" s="1" spans="1:12">
      <c r="A845" s="4" t="n">
        <v>43132</v>
      </c>
      <c r="B845" t="s">
        <v>455</v>
      </c>
      <c r="C845" t="s">
        <v>38</v>
      </c>
      <c r="D845" t="s">
        <v>245</v>
      </c>
      <c r="E845" t="s">
        <v>15</v>
      </c>
      <c r="F845" t="s">
        <v>16</v>
      </c>
      <c r="G845" t="s">
        <v>1538</v>
      </c>
      <c r="H845">
        <f>HYPERLINK("https://www.jouwictvacature.nl/solliciteren?job=net-lead-engineer-bij-sogeti-2", "Link")</f>
        <v/>
      </c>
      <c r="I845" t="s">
        <v>17</v>
      </c>
      <c r="J845" t="s">
        <v>18</v>
      </c>
      <c r="K845" t="s">
        <v>1130</v>
      </c>
      <c r="L845" t="s">
        <v>1539</v>
      </c>
    </row>
    <row hidden="1" r="846" s="1" spans="1:12">
      <c r="A846" s="4" t="n">
        <v>43132</v>
      </c>
      <c r="B846" t="s">
        <v>455</v>
      </c>
      <c r="C846" t="s">
        <v>456</v>
      </c>
      <c r="D846" t="s">
        <v>245</v>
      </c>
      <c r="E846" t="s">
        <v>15</v>
      </c>
      <c r="F846" t="s">
        <v>16</v>
      </c>
      <c r="G846" t="s">
        <v>998</v>
      </c>
      <c r="H846">
        <f>HYPERLINK("https://www.jouwictvacature.nl/solliciteren?job=senior-net-engineer-bij-sogeti-6", "Link")</f>
        <v/>
      </c>
      <c r="I846" t="s">
        <v>17</v>
      </c>
      <c r="J846" t="s">
        <v>18</v>
      </c>
      <c r="K846" t="s">
        <v>466</v>
      </c>
      <c r="L846" t="s">
        <v>999</v>
      </c>
    </row>
    <row hidden="1" r="847" s="1" spans="1:12">
      <c r="A847" s="4" t="n">
        <v>43130</v>
      </c>
      <c r="B847" t="s">
        <v>237</v>
      </c>
      <c r="C847" t="s">
        <v>62</v>
      </c>
      <c r="D847" t="s">
        <v>22</v>
      </c>
      <c r="E847" t="s">
        <v>15</v>
      </c>
      <c r="F847" t="s">
        <v>34</v>
      </c>
      <c r="G847" t="s">
        <v>1540</v>
      </c>
      <c r="H847">
        <f>HYPERLINK("https://www.jouwictvacature.nl/solliciteren?job=junior-integratie-specialist--mulesoft-oracle-soa-suite-wso2-websphere", "Link")</f>
        <v/>
      </c>
      <c r="I847" t="s">
        <v>17</v>
      </c>
      <c r="J847" t="s">
        <v>18</v>
      </c>
      <c r="K847" t="s">
        <v>1541</v>
      </c>
      <c r="L847" t="s">
        <v>1542</v>
      </c>
    </row>
    <row hidden="1" r="848" s="1" spans="1:12">
      <c r="A848" s="4" t="n">
        <v>43130</v>
      </c>
      <c r="B848" t="s">
        <v>237</v>
      </c>
      <c r="C848" t="s">
        <v>62</v>
      </c>
      <c r="D848" t="s">
        <v>22</v>
      </c>
      <c r="E848" t="s">
        <v>15</v>
      </c>
      <c r="F848" t="s">
        <v>34</v>
      </c>
      <c r="G848" t="s">
        <v>1543</v>
      </c>
      <c r="H848">
        <f>HYPERLINK("https://www.jouwictvacature.nl/solliciteren?job=junior-java-developer--spring-angularjs-soap-rest-api-jenkins-bij-hybr", "Link")</f>
        <v/>
      </c>
      <c r="I848" t="s">
        <v>17</v>
      </c>
      <c r="J848" t="s">
        <v>18</v>
      </c>
      <c r="K848" t="s">
        <v>242</v>
      </c>
      <c r="L848" t="s">
        <v>1544</v>
      </c>
    </row>
    <row hidden="1" r="849" s="1" spans="1:12">
      <c r="A849" s="4" t="n">
        <v>43130</v>
      </c>
      <c r="B849" t="s">
        <v>71</v>
      </c>
      <c r="C849" t="s">
        <v>38</v>
      </c>
      <c r="D849" t="s">
        <v>22</v>
      </c>
      <c r="E849" t="s">
        <v>15</v>
      </c>
      <c r="F849" t="s">
        <v>34</v>
      </c>
      <c r="G849" t="s">
        <v>1545</v>
      </c>
      <c r="H849">
        <f>HYPERLINK("https://www.jouwictvacature.nl/solliciteren?job=junior-agile-test-specialist-bij-bartosz-bij-bartosz-amsterdam", "Link")</f>
        <v/>
      </c>
      <c r="I849" t="s">
        <v>17</v>
      </c>
      <c r="J849" t="s">
        <v>18</v>
      </c>
      <c r="K849" t="s">
        <v>91</v>
      </c>
      <c r="L849" t="s">
        <v>1546</v>
      </c>
    </row>
    <row hidden="1" r="850" s="1" spans="1:12">
      <c r="A850" s="4" t="n">
        <v>43130</v>
      </c>
      <c r="B850" t="s">
        <v>104</v>
      </c>
      <c r="C850" t="s">
        <v>93</v>
      </c>
      <c r="D850" t="s">
        <v>22</v>
      </c>
      <c r="E850" t="s">
        <v>15</v>
      </c>
      <c r="F850" t="s">
        <v>16</v>
      </c>
      <c r="G850" t="s">
        <v>104</v>
      </c>
      <c r="H850">
        <f>HYPERLINK("https://www.jouwictvacature.nl/solliciteren?job=senior-softwareontwikkelaar-bij-betabit-regio-rotterdam", "Link")</f>
        <v/>
      </c>
      <c r="I850" t="s">
        <v>17</v>
      </c>
      <c r="J850" t="s">
        <v>18</v>
      </c>
      <c r="K850" t="s">
        <v>1349</v>
      </c>
      <c r="L850" t="s">
        <v>1547</v>
      </c>
    </row>
    <row hidden="1" r="851" s="1" spans="1:12">
      <c r="A851" s="4" t="n">
        <v>43130</v>
      </c>
      <c r="B851" t="s">
        <v>49</v>
      </c>
      <c r="C851" t="s">
        <v>50</v>
      </c>
      <c r="D851" t="s">
        <v>22</v>
      </c>
      <c r="E851" t="s">
        <v>15</v>
      </c>
      <c r="F851" t="s">
        <v>52</v>
      </c>
      <c r="G851" t="s">
        <v>318</v>
      </c>
      <c r="H851">
        <f>HYPERLINK("https://www.jouwictvacature.nl/solliciteren?job=junior-front-end-developer-angular-2-", "Link")</f>
        <v/>
      </c>
      <c r="I851" t="s">
        <v>17</v>
      </c>
      <c r="J851" t="s">
        <v>18</v>
      </c>
      <c r="K851" t="s">
        <v>1249</v>
      </c>
      <c r="L851" t="s">
        <v>1250</v>
      </c>
    </row>
    <row hidden="1" r="852" s="1" spans="1:12">
      <c r="A852" s="4" t="n">
        <v>43130</v>
      </c>
      <c r="B852" t="s">
        <v>1000</v>
      </c>
      <c r="C852" t="s">
        <v>1001</v>
      </c>
      <c r="D852" t="s">
        <v>22</v>
      </c>
      <c r="E852" t="s">
        <v>15</v>
      </c>
      <c r="F852" t="s">
        <v>16</v>
      </c>
      <c r="G852" t="s">
        <v>1000</v>
      </c>
      <c r="H852">
        <f>HYPERLINK("https://www.jouwictvacature.nl/solliciteren?job=backend-software-developer-bij-bwaste-international-bv-in-eefde", "Link")</f>
        <v/>
      </c>
      <c r="I852" t="s">
        <v>17</v>
      </c>
      <c r="J852" t="s">
        <v>18</v>
      </c>
      <c r="K852" t="s">
        <v>1002</v>
      </c>
      <c r="L852" t="s">
        <v>1003</v>
      </c>
    </row>
    <row hidden="1" r="853" s="1" spans="1:12">
      <c r="A853" s="4" t="n">
        <v>43130</v>
      </c>
      <c r="B853" t="s">
        <v>1036</v>
      </c>
      <c r="C853" t="s">
        <v>1037</v>
      </c>
      <c r="D853" t="s">
        <v>14</v>
      </c>
      <c r="E853" t="s">
        <v>15</v>
      </c>
      <c r="F853" t="s">
        <v>52</v>
      </c>
      <c r="G853" t="s">
        <v>1152</v>
      </c>
      <c r="H853">
        <f>HYPERLINK("https://www.jouwictvacature.nl/solliciteren?job=medior-nodejs-developer-bij-onsweb", "Link")</f>
        <v/>
      </c>
      <c r="I853" t="s">
        <v>17</v>
      </c>
      <c r="J853" t="s">
        <v>18</v>
      </c>
      <c r="K853" t="s">
        <v>1039</v>
      </c>
      <c r="L853" t="s">
        <v>1153</v>
      </c>
    </row>
    <row hidden="1" r="854" s="1" spans="1:12">
      <c r="A854" s="4" t="n">
        <v>43130</v>
      </c>
      <c r="B854" t="s">
        <v>405</v>
      </c>
      <c r="C854" t="s">
        <v>412</v>
      </c>
      <c r="D854" t="s">
        <v>14</v>
      </c>
      <c r="E854" t="s">
        <v>15</v>
      </c>
      <c r="F854" t="s">
        <v>16</v>
      </c>
      <c r="G854" t="s">
        <v>405</v>
      </c>
      <c r="H854">
        <f>HYPERLINK("https://www.jouwictvacature.nl/solliciteren?job=ervaren-ax-consultant", "Link")</f>
        <v/>
      </c>
      <c r="I854" t="s">
        <v>17</v>
      </c>
      <c r="J854" t="s">
        <v>18</v>
      </c>
      <c r="K854" t="s">
        <v>413</v>
      </c>
      <c r="L854" t="s">
        <v>1548</v>
      </c>
    </row>
    <row hidden="1" r="855" s="1" spans="1:12">
      <c r="A855" s="4" t="n">
        <v>43130</v>
      </c>
      <c r="B855" t="s">
        <v>37</v>
      </c>
      <c r="C855" t="s">
        <v>38</v>
      </c>
      <c r="D855" t="s">
        <v>22</v>
      </c>
      <c r="E855" t="s">
        <v>15</v>
      </c>
      <c r="F855" t="s">
        <v>28</v>
      </c>
      <c r="G855" t="s">
        <v>42</v>
      </c>
      <c r="H855">
        <f>HYPERLINK("https://www.jouwictvacature.nl/solliciteren?job=senior-web-developer-bij-advitrae", "Link")</f>
        <v/>
      </c>
      <c r="I855" t="s">
        <v>17</v>
      </c>
      <c r="J855" t="s">
        <v>18</v>
      </c>
      <c r="K855" t="s">
        <v>40</v>
      </c>
      <c r="L855" t="s">
        <v>43</v>
      </c>
    </row>
    <row hidden="1" r="856" s="1" spans="1:12">
      <c r="A856" s="4" t="n">
        <v>43129</v>
      </c>
      <c r="B856" t="s">
        <v>478</v>
      </c>
      <c r="C856" t="s">
        <v>479</v>
      </c>
      <c r="D856" t="s">
        <v>245</v>
      </c>
      <c r="E856" t="s">
        <v>15</v>
      </c>
      <c r="F856" t="s">
        <v>16</v>
      </c>
      <c r="G856" t="s">
        <v>1304</v>
      </c>
      <c r="H856">
        <f>HYPERLINK("https://www.jouwictvacature.nl/solliciteren?job=gedreven-senior-php-developer-met-ervaring-gezocht-bij-square", "Link")</f>
        <v/>
      </c>
      <c r="I856" t="s">
        <v>17</v>
      </c>
      <c r="J856" t="s">
        <v>18</v>
      </c>
      <c r="K856" t="s">
        <v>484</v>
      </c>
      <c r="L856" t="s">
        <v>1305</v>
      </c>
    </row>
    <row hidden="1" r="857" s="1" spans="1:12">
      <c r="A857" s="4" t="n">
        <v>43129</v>
      </c>
      <c r="B857" t="s">
        <v>478</v>
      </c>
      <c r="C857" t="s">
        <v>479</v>
      </c>
      <c r="D857" t="s">
        <v>245</v>
      </c>
      <c r="E857" t="s">
        <v>15</v>
      </c>
      <c r="F857" t="s">
        <v>16</v>
      </c>
      <c r="G857" t="s">
        <v>1549</v>
      </c>
      <c r="H857">
        <f>HYPERLINK("https://www.jouwictvacature.nl/solliciteren?job=gedreven-junior-php-developer-bij-square", "Link")</f>
        <v/>
      </c>
      <c r="I857" t="s">
        <v>17</v>
      </c>
      <c r="J857" t="s">
        <v>18</v>
      </c>
      <c r="K857" t="s">
        <v>1011</v>
      </c>
      <c r="L857" t="s">
        <v>1550</v>
      </c>
    </row>
    <row hidden="1" r="858" s="1" spans="1:12">
      <c r="A858" s="4" t="n">
        <v>43130</v>
      </c>
      <c r="B858" t="s">
        <v>308</v>
      </c>
      <c r="C858" t="s">
        <v>309</v>
      </c>
      <c r="D858" t="s">
        <v>14</v>
      </c>
      <c r="E858" t="s">
        <v>15</v>
      </c>
      <c r="F858" t="s">
        <v>34</v>
      </c>
      <c r="G858" t="s">
        <v>1551</v>
      </c>
      <c r="H858">
        <f>HYPERLINK("https://www.jouwictvacature.nl/solliciteren?job=junior-cnet-developer-bij-marketgraph", "Link")</f>
        <v/>
      </c>
      <c r="I858" t="s">
        <v>17</v>
      </c>
      <c r="J858" t="s">
        <v>18</v>
      </c>
      <c r="K858" t="s">
        <v>311</v>
      </c>
      <c r="L858" t="s">
        <v>1552</v>
      </c>
    </row>
    <row hidden="1" r="859" s="1" spans="1:12">
      <c r="A859" s="4" t="n">
        <v>43130</v>
      </c>
      <c r="B859" t="s">
        <v>1174</v>
      </c>
      <c r="C859" t="s">
        <v>1175</v>
      </c>
      <c r="D859" t="s">
        <v>14</v>
      </c>
      <c r="E859" t="s">
        <v>15</v>
      </c>
      <c r="F859" t="s">
        <v>34</v>
      </c>
      <c r="G859" t="s">
        <v>1202</v>
      </c>
      <c r="H859">
        <f>HYPERLINK("https://www.jouwictvacature.nl/solliciteren?job=junior-c-developer-met-affiniteit-voor-blockchain-machine-learning-en-", "Link")</f>
        <v/>
      </c>
      <c r="I859" t="s">
        <v>17</v>
      </c>
      <c r="J859" t="s">
        <v>18</v>
      </c>
      <c r="K859" t="s">
        <v>1177</v>
      </c>
      <c r="L859" t="s">
        <v>1203</v>
      </c>
    </row>
    <row hidden="1" r="860" s="1" spans="1:12">
      <c r="A860" s="4" t="n">
        <v>43130</v>
      </c>
      <c r="B860" t="s">
        <v>354</v>
      </c>
      <c r="C860" t="s">
        <v>50</v>
      </c>
      <c r="D860" t="s">
        <v>14</v>
      </c>
      <c r="E860" t="s">
        <v>15</v>
      </c>
      <c r="F860" t="s">
        <v>28</v>
      </c>
      <c r="G860" t="s">
        <v>1450</v>
      </c>
      <c r="H860">
        <f>HYPERLINK("https://www.jouwictvacature.nl/solliciteren?job=senior-drupal-developer-bij-netvlies", "Link")</f>
        <v/>
      </c>
      <c r="I860" t="s">
        <v>17</v>
      </c>
      <c r="J860" t="s">
        <v>18</v>
      </c>
      <c r="K860" t="s">
        <v>1451</v>
      </c>
      <c r="L860" t="s">
        <v>1452</v>
      </c>
    </row>
    <row hidden="1" r="861" s="1" spans="1:12">
      <c r="A861" s="4" t="n">
        <v>43130</v>
      </c>
      <c r="B861" t="s">
        <v>230</v>
      </c>
      <c r="C861" t="s">
        <v>93</v>
      </c>
      <c r="D861" t="s">
        <v>22</v>
      </c>
      <c r="E861" t="s">
        <v>15</v>
      </c>
      <c r="F861" t="s">
        <v>16</v>
      </c>
      <c r="G861" t="s">
        <v>234</v>
      </c>
      <c r="H861">
        <f>HYPERLINK("https://www.jouwictvacature.nl/solliciteren?job=php-programmeur-17", "Link")</f>
        <v/>
      </c>
      <c r="I861" t="s">
        <v>17</v>
      </c>
      <c r="J861" t="s">
        <v>18</v>
      </c>
      <c r="K861" t="s">
        <v>235</v>
      </c>
      <c r="L861" t="s">
        <v>236</v>
      </c>
    </row>
    <row hidden="1" r="862" s="1" spans="1:12">
      <c r="A862" s="4" t="n">
        <v>43130</v>
      </c>
      <c r="B862" t="s">
        <v>213</v>
      </c>
      <c r="C862" t="s">
        <v>80</v>
      </c>
      <c r="D862" t="s">
        <v>22</v>
      </c>
      <c r="E862" t="s">
        <v>15</v>
      </c>
      <c r="F862" t="s">
        <v>16</v>
      </c>
      <c r="G862" t="s">
        <v>213</v>
      </c>
      <c r="H862">
        <f>HYPERLINK("https://www.jouwictvacature.nl/solliciteren?job=medior-php-developer-met-oog-voor-data-2", "Link")</f>
        <v/>
      </c>
      <c r="I862" t="s">
        <v>17</v>
      </c>
      <c r="J862" t="s">
        <v>18</v>
      </c>
      <c r="K862" t="s">
        <v>214</v>
      </c>
      <c r="L862" t="s">
        <v>215</v>
      </c>
    </row>
    <row hidden="1" r="863" s="1" spans="1:12">
      <c r="A863" s="4" t="n">
        <v>43130</v>
      </c>
      <c r="B863" t="s">
        <v>293</v>
      </c>
      <c r="C863" t="s">
        <v>294</v>
      </c>
      <c r="D863" t="s">
        <v>14</v>
      </c>
      <c r="E863" t="s">
        <v>15</v>
      </c>
      <c r="F863" t="s">
        <v>52</v>
      </c>
      <c r="G863" t="s">
        <v>1246</v>
      </c>
      <c r="H863">
        <f>HYPERLINK("https://www.jouwictvacature.nl/solliciteren?job=medior-webdeveloper--fulltime-bij-koekenpeer", "Link")</f>
        <v/>
      </c>
      <c r="I863" t="s">
        <v>17</v>
      </c>
      <c r="J863" t="s">
        <v>18</v>
      </c>
      <c r="K863" t="s">
        <v>302</v>
      </c>
      <c r="L863" t="s">
        <v>1553</v>
      </c>
    </row>
    <row hidden="1" r="864" s="1" spans="1:12">
      <c r="A864" s="4" t="n">
        <v>43130</v>
      </c>
      <c r="B864" t="s">
        <v>230</v>
      </c>
      <c r="C864" t="s">
        <v>93</v>
      </c>
      <c r="D864" t="s">
        <v>22</v>
      </c>
      <c r="E864" t="s">
        <v>15</v>
      </c>
      <c r="F864" t="s">
        <v>52</v>
      </c>
      <c r="G864" t="s">
        <v>1355</v>
      </c>
      <c r="H864">
        <f>HYPERLINK("https://www.jouwictvacature.nl/solliciteren?job=medior-php-programmeur-bij-hvmp-marketing--ernesto-", "Link")</f>
        <v/>
      </c>
      <c r="I864" t="s">
        <v>17</v>
      </c>
      <c r="J864" t="s">
        <v>18</v>
      </c>
      <c r="K864" t="s">
        <v>235</v>
      </c>
      <c r="L864" t="s">
        <v>1356</v>
      </c>
    </row>
    <row hidden="1" r="865" s="1" spans="1:12">
      <c r="A865" s="4" t="n">
        <v>43130</v>
      </c>
      <c r="B865" t="s">
        <v>719</v>
      </c>
      <c r="C865" t="s">
        <v>93</v>
      </c>
      <c r="D865" t="s">
        <v>22</v>
      </c>
      <c r="E865" t="s">
        <v>15</v>
      </c>
      <c r="F865" t="s">
        <v>52</v>
      </c>
      <c r="G865" t="s">
        <v>1390</v>
      </c>
      <c r="H865">
        <f>HYPERLINK("https://www.jouwictvacature.nl/solliciteren?job=medior-back-end-developer-bij-23g", "Link")</f>
        <v/>
      </c>
      <c r="I865" t="s">
        <v>17</v>
      </c>
      <c r="J865" t="s">
        <v>18</v>
      </c>
      <c r="K865" t="s">
        <v>721</v>
      </c>
      <c r="L865" t="s">
        <v>1391</v>
      </c>
    </row>
    <row hidden="1" r="866" s="1" spans="1:12">
      <c r="A866" s="4" t="n">
        <v>43130</v>
      </c>
      <c r="B866" t="s">
        <v>795</v>
      </c>
      <c r="C866" t="s">
        <v>796</v>
      </c>
      <c r="D866" t="s">
        <v>22</v>
      </c>
      <c r="E866" t="s">
        <v>15</v>
      </c>
      <c r="F866" t="s">
        <v>52</v>
      </c>
      <c r="G866" t="s">
        <v>797</v>
      </c>
      <c r="H866">
        <f>HYPERLINK("https://www.jouwictvacature.nl/solliciteren?job=medior-webdeveloper--html-css-jquery-php-oop-mysql-wordpress", "Link")</f>
        <v/>
      </c>
      <c r="I866" t="s">
        <v>17</v>
      </c>
      <c r="J866" t="s">
        <v>18</v>
      </c>
      <c r="K866" t="s">
        <v>798</v>
      </c>
      <c r="L866" t="s">
        <v>799</v>
      </c>
    </row>
    <row hidden="1" r="867" s="1" spans="1:12">
      <c r="A867" s="4" t="n">
        <v>43130</v>
      </c>
      <c r="B867" t="s">
        <v>1140</v>
      </c>
      <c r="C867" t="s">
        <v>1141</v>
      </c>
      <c r="D867" t="s">
        <v>22</v>
      </c>
      <c r="E867" t="s">
        <v>15</v>
      </c>
      <c r="F867" t="s">
        <v>16</v>
      </c>
      <c r="G867" t="s">
        <v>1554</v>
      </c>
      <c r="H867">
        <f>HYPERLINK("https://www.jouwictvacature.nl/solliciteren?job=full-stack-developer-11", "Link")</f>
        <v/>
      </c>
      <c r="I867" t="s">
        <v>17</v>
      </c>
      <c r="J867" t="s">
        <v>18</v>
      </c>
      <c r="K867" t="s">
        <v>1143</v>
      </c>
      <c r="L867" t="s">
        <v>1555</v>
      </c>
    </row>
    <row hidden="1" r="868" s="1" spans="1:12">
      <c r="A868" s="4" t="n">
        <v>43130</v>
      </c>
      <c r="B868" t="s">
        <v>1446</v>
      </c>
      <c r="C868" t="s">
        <v>80</v>
      </c>
      <c r="D868" t="s">
        <v>22</v>
      </c>
      <c r="E868" t="s">
        <v>15</v>
      </c>
      <c r="F868" t="s">
        <v>16</v>
      </c>
      <c r="G868" t="s">
        <v>1447</v>
      </c>
      <c r="H868">
        <f>HYPERLINK("https://www.jouwictvacature.nl/solliciteren?job=web-developer-bij-comrads-solutions-2", "Link")</f>
        <v/>
      </c>
      <c r="I868" t="s">
        <v>17</v>
      </c>
      <c r="J868" t="s">
        <v>18</v>
      </c>
      <c r="K868" t="s">
        <v>1448</v>
      </c>
      <c r="L868" t="s">
        <v>1449</v>
      </c>
    </row>
    <row hidden="1" r="869" s="1" spans="1:12">
      <c r="A869" s="4" t="n">
        <v>43130</v>
      </c>
      <c r="B869" t="s">
        <v>354</v>
      </c>
      <c r="C869" t="s">
        <v>50</v>
      </c>
      <c r="D869" t="s">
        <v>14</v>
      </c>
      <c r="E869" t="s">
        <v>15</v>
      </c>
      <c r="F869" t="s">
        <v>16</v>
      </c>
      <c r="G869" t="s">
        <v>939</v>
      </c>
      <c r="H869">
        <f>HYPERLINK("https://www.jouwictvacature.nl/solliciteren?job=-back-end-wordpress-developer", "Link")</f>
        <v/>
      </c>
      <c r="I869" t="s">
        <v>17</v>
      </c>
      <c r="J869" t="s">
        <v>18</v>
      </c>
      <c r="K869" t="s">
        <v>940</v>
      </c>
      <c r="L869" t="s">
        <v>941</v>
      </c>
    </row>
    <row hidden="1" r="870" s="1" spans="1:12">
      <c r="A870" s="4" t="n">
        <v>43130</v>
      </c>
      <c r="B870" t="s">
        <v>227</v>
      </c>
      <c r="C870" t="s">
        <v>76</v>
      </c>
      <c r="D870" t="s">
        <v>22</v>
      </c>
      <c r="E870" t="s">
        <v>15</v>
      </c>
      <c r="F870" t="s">
        <v>16</v>
      </c>
      <c r="G870" t="s">
        <v>227</v>
      </c>
      <c r="H870">
        <f>HYPERLINK("https://www.jouwictvacature.nl/solliciteren?job=senior-front-end-developer-bij-hulst-computer-systems-bij-hulst-comput", "Link")</f>
        <v/>
      </c>
      <c r="I870" t="s">
        <v>17</v>
      </c>
      <c r="J870" t="s">
        <v>18</v>
      </c>
      <c r="K870" t="s">
        <v>228</v>
      </c>
      <c r="L870" t="s">
        <v>229</v>
      </c>
    </row>
    <row hidden="1" r="871" s="1" spans="1:12">
      <c r="A871" s="4" t="n">
        <v>43130</v>
      </c>
      <c r="B871" t="s">
        <v>1556</v>
      </c>
      <c r="C871" t="s">
        <v>1557</v>
      </c>
      <c r="D871" t="s">
        <v>14</v>
      </c>
      <c r="E871" t="s">
        <v>15</v>
      </c>
      <c r="F871" t="s">
        <v>16</v>
      </c>
      <c r="G871" t="s">
        <v>1556</v>
      </c>
      <c r="H871">
        <f>HYPERLINK("https://www.jouwictvacature.nl/solliciteren?job=senior-javascript-developer-bij-minox", "Link")</f>
        <v/>
      </c>
      <c r="I871" t="s">
        <v>17</v>
      </c>
      <c r="J871" t="s">
        <v>18</v>
      </c>
      <c r="K871" t="s">
        <v>1558</v>
      </c>
      <c r="L871" t="s">
        <v>1559</v>
      </c>
    </row>
    <row hidden="1" r="872" s="1" spans="1:12">
      <c r="A872" s="4" t="n">
        <v>43130</v>
      </c>
      <c r="B872" t="s">
        <v>365</v>
      </c>
      <c r="C872" t="s">
        <v>366</v>
      </c>
      <c r="D872" t="s">
        <v>14</v>
      </c>
      <c r="E872" t="s">
        <v>15</v>
      </c>
      <c r="F872" t="s">
        <v>28</v>
      </c>
      <c r="G872" t="s">
        <v>739</v>
      </c>
      <c r="H872">
        <f>HYPERLINK("https://www.jouwictvacature.nl/solliciteren?job=senior-javascript-ontwikkelaar-bij-not-on-paper", "Link")</f>
        <v/>
      </c>
      <c r="I872" t="s">
        <v>17</v>
      </c>
      <c r="J872" t="s">
        <v>18</v>
      </c>
      <c r="K872" t="s">
        <v>740</v>
      </c>
      <c r="L872" t="s">
        <v>741</v>
      </c>
    </row>
    <row hidden="1" r="873" s="1" spans="1:12">
      <c r="A873" s="4" t="n">
        <v>43130</v>
      </c>
      <c r="B873" t="s">
        <v>478</v>
      </c>
      <c r="C873" t="s">
        <v>479</v>
      </c>
      <c r="D873" t="s">
        <v>245</v>
      </c>
      <c r="E873" t="s">
        <v>15</v>
      </c>
      <c r="F873" t="s">
        <v>16</v>
      </c>
      <c r="G873" t="s">
        <v>1010</v>
      </c>
      <c r="H873">
        <f>HYPERLINK("https://www.jouwictvacature.nl/solliciteren?job=gedreven-junior-zend-developer-bij-square", "Link")</f>
        <v/>
      </c>
      <c r="I873" t="s">
        <v>17</v>
      </c>
      <c r="J873" t="s">
        <v>18</v>
      </c>
      <c r="K873" t="s">
        <v>1011</v>
      </c>
      <c r="L873" t="s">
        <v>1012</v>
      </c>
    </row>
    <row hidden="1" r="874" s="1" spans="1:12">
      <c r="A874" s="4" t="n">
        <v>43130</v>
      </c>
      <c r="B874" t="s">
        <v>478</v>
      </c>
      <c r="C874" t="s">
        <v>479</v>
      </c>
      <c r="D874" t="s">
        <v>245</v>
      </c>
      <c r="E874" t="s">
        <v>15</v>
      </c>
      <c r="F874" t="s">
        <v>16</v>
      </c>
      <c r="G874" t="s">
        <v>1560</v>
      </c>
      <c r="H874">
        <f>HYPERLINK("https://www.jouwictvacature.nl/solliciteren?job=gedreven-php-developer-met-ervaring-gezocht", "Link")</f>
        <v/>
      </c>
      <c r="I874" t="s">
        <v>17</v>
      </c>
      <c r="J874" t="s">
        <v>18</v>
      </c>
      <c r="K874" t="s">
        <v>484</v>
      </c>
      <c r="L874" t="s">
        <v>1561</v>
      </c>
    </row>
    <row hidden="1" r="875" s="1" spans="1:12">
      <c r="A875" s="4" t="n">
        <v>43130</v>
      </c>
      <c r="B875" t="s">
        <v>1036</v>
      </c>
      <c r="C875" t="s">
        <v>1037</v>
      </c>
      <c r="D875" t="s">
        <v>14</v>
      </c>
      <c r="E875" t="s">
        <v>15</v>
      </c>
      <c r="F875" t="s">
        <v>52</v>
      </c>
      <c r="G875" t="s">
        <v>1562</v>
      </c>
      <c r="H875">
        <f>HYPERLINK("https://www.jouwictvacature.nl/solliciteren?job=medior-fullstack-developer-bij-onsweb", "Link")</f>
        <v/>
      </c>
      <c r="I875" t="s">
        <v>17</v>
      </c>
      <c r="J875" t="s">
        <v>18</v>
      </c>
      <c r="K875" t="s">
        <v>1039</v>
      </c>
      <c r="L875" t="s">
        <v>1563</v>
      </c>
    </row>
    <row hidden="1" r="876" s="1" spans="1:12">
      <c r="A876" s="4" t="n">
        <v>43130</v>
      </c>
      <c r="B876" t="s">
        <v>829</v>
      </c>
      <c r="C876" t="s">
        <v>279</v>
      </c>
      <c r="D876" t="s">
        <v>22</v>
      </c>
      <c r="E876" t="s">
        <v>15</v>
      </c>
      <c r="F876" t="s">
        <v>52</v>
      </c>
      <c r="G876" t="s">
        <v>1092</v>
      </c>
      <c r="H876">
        <f>HYPERLINK("https://www.jouwictvacature.nl/solliciteren?job=medior-front-end-ontwikkelaar-bij-bigbridge-bij-bigbridge", "Link")</f>
        <v/>
      </c>
      <c r="I876" t="s">
        <v>17</v>
      </c>
      <c r="J876" t="s">
        <v>18</v>
      </c>
      <c r="K876" t="s">
        <v>953</v>
      </c>
      <c r="L876" t="s">
        <v>1564</v>
      </c>
    </row>
    <row hidden="1" r="877" s="1" spans="1:12">
      <c r="A877" s="4" t="n">
        <v>43130</v>
      </c>
      <c r="B877" t="s">
        <v>213</v>
      </c>
      <c r="C877" t="s">
        <v>80</v>
      </c>
      <c r="D877" t="s">
        <v>22</v>
      </c>
      <c r="E877" t="s">
        <v>15</v>
      </c>
      <c r="F877" t="s">
        <v>16</v>
      </c>
      <c r="G877" t="s">
        <v>213</v>
      </c>
      <c r="H877">
        <f>HYPERLINK("https://www.jouwictvacature.nl/solliciteren?job=senior-front-end-developer-bij-growing-minds-bij-growing-minds", "Link")</f>
        <v/>
      </c>
      <c r="I877" t="s">
        <v>17</v>
      </c>
      <c r="J877" t="s">
        <v>18</v>
      </c>
      <c r="K877" t="s">
        <v>216</v>
      </c>
      <c r="L877" t="s">
        <v>217</v>
      </c>
    </row>
    <row hidden="1" r="878" s="1" spans="1:12">
      <c r="A878" s="4" t="n">
        <v>43130</v>
      </c>
      <c r="B878" t="s">
        <v>304</v>
      </c>
      <c r="C878" t="s">
        <v>305</v>
      </c>
      <c r="D878" t="s">
        <v>14</v>
      </c>
      <c r="E878" t="s">
        <v>15</v>
      </c>
      <c r="F878" t="s">
        <v>16</v>
      </c>
      <c r="G878" t="s">
        <v>304</v>
      </c>
      <c r="H878">
        <f>HYPERLINK("https://www.jouwictvacature.nl/solliciteren?job=medior-nodejs-software-engineer", "Link")</f>
        <v/>
      </c>
      <c r="I878" t="s">
        <v>17</v>
      </c>
      <c r="J878" t="s">
        <v>18</v>
      </c>
      <c r="K878" t="s">
        <v>306</v>
      </c>
      <c r="L878" t="s">
        <v>307</v>
      </c>
    </row>
    <row hidden="1" r="879" s="1" spans="1:12">
      <c r="A879" s="4" t="n">
        <v>43130</v>
      </c>
      <c r="B879" t="s">
        <v>1104</v>
      </c>
      <c r="C879" t="s">
        <v>1105</v>
      </c>
      <c r="D879" t="s">
        <v>22</v>
      </c>
      <c r="E879" t="s">
        <v>15</v>
      </c>
      <c r="F879" t="s">
        <v>16</v>
      </c>
      <c r="G879" t="s">
        <v>1106</v>
      </c>
      <c r="H879">
        <f>HYPERLINK("https://www.jouwictvacature.nl/solliciteren?job=enthousiaste-ervaren-front-end-designer", "Link")</f>
        <v/>
      </c>
      <c r="I879" t="s">
        <v>17</v>
      </c>
      <c r="J879" t="s">
        <v>18</v>
      </c>
      <c r="K879" t="s">
        <v>1107</v>
      </c>
      <c r="L879" t="s">
        <v>1108</v>
      </c>
    </row>
    <row hidden="1" r="880" s="1" spans="1:12">
      <c r="A880" s="4" t="n">
        <v>43130</v>
      </c>
      <c r="B880" t="s">
        <v>678</v>
      </c>
      <c r="C880" t="s">
        <v>679</v>
      </c>
      <c r="D880" t="s">
        <v>22</v>
      </c>
      <c r="E880" t="s">
        <v>15</v>
      </c>
      <c r="F880" t="s">
        <v>28</v>
      </c>
      <c r="G880" t="s">
        <v>1565</v>
      </c>
      <c r="H880">
        <f>HYPERLINK("https://www.jouwictvacature.nl/solliciteren?job=senior-java-developer-7", "Link")</f>
        <v/>
      </c>
      <c r="I880" t="s">
        <v>17</v>
      </c>
      <c r="J880" t="s">
        <v>18</v>
      </c>
      <c r="K880" t="s">
        <v>1566</v>
      </c>
      <c r="L880" t="s">
        <v>1567</v>
      </c>
    </row>
    <row hidden="1" r="881" s="1" spans="1:12">
      <c r="A881" s="4" t="n">
        <v>43130</v>
      </c>
      <c r="B881" t="s">
        <v>71</v>
      </c>
      <c r="C881" t="s">
        <v>38</v>
      </c>
      <c r="D881" t="s">
        <v>22</v>
      </c>
      <c r="E881" t="s">
        <v>15</v>
      </c>
      <c r="F881" t="s">
        <v>28</v>
      </c>
      <c r="G881" t="s">
        <v>1568</v>
      </c>
      <c r="H881">
        <f>HYPERLINK("https://www.jouwictvacature.nl/solliciteren?job=senior-testanalist-bij-bartosz-bij-bartosz-eindhoven", "Link")</f>
        <v/>
      </c>
      <c r="I881" t="s">
        <v>17</v>
      </c>
      <c r="J881" t="s">
        <v>18</v>
      </c>
      <c r="K881" t="s">
        <v>95</v>
      </c>
      <c r="L881" t="s">
        <v>1569</v>
      </c>
    </row>
    <row hidden="1" r="882" s="1" spans="1:12">
      <c r="A882" s="4" t="n">
        <v>43130</v>
      </c>
      <c r="B882" t="s">
        <v>132</v>
      </c>
      <c r="C882" t="s">
        <v>93</v>
      </c>
      <c r="D882" t="s">
        <v>22</v>
      </c>
      <c r="E882" t="s">
        <v>15</v>
      </c>
      <c r="F882" t="s">
        <v>28</v>
      </c>
      <c r="G882" t="s">
        <v>979</v>
      </c>
      <c r="H882">
        <f>HYPERLINK("https://www.jouwictvacature.nl/solliciteren?job=senior-mendix-developer-bij-fintech", "Link")</f>
        <v/>
      </c>
      <c r="I882" t="s">
        <v>17</v>
      </c>
      <c r="J882" t="s">
        <v>18</v>
      </c>
      <c r="K882" t="s">
        <v>980</v>
      </c>
      <c r="L882" t="s">
        <v>981</v>
      </c>
    </row>
    <row hidden="1" r="883" s="1" spans="1:12">
      <c r="A883" s="4" t="n">
        <v>43130</v>
      </c>
      <c r="B883" t="s">
        <v>237</v>
      </c>
      <c r="C883" t="s">
        <v>62</v>
      </c>
      <c r="D883" t="s">
        <v>22</v>
      </c>
      <c r="E883" t="s">
        <v>15</v>
      </c>
      <c r="F883" t="s">
        <v>52</v>
      </c>
      <c r="G883" t="s">
        <v>241</v>
      </c>
      <c r="H883">
        <f>HYPERLINK("https://www.jouwictvacature.nl/solliciteren?job=medior-java-developer-bij-hybrit", "Link")</f>
        <v/>
      </c>
      <c r="I883" t="s">
        <v>17</v>
      </c>
      <c r="J883" t="s">
        <v>18</v>
      </c>
      <c r="K883" t="s">
        <v>242</v>
      </c>
      <c r="L883" t="s">
        <v>243</v>
      </c>
    </row>
    <row hidden="1" r="884" s="1" spans="1:12">
      <c r="A884" s="4" t="n">
        <v>43130</v>
      </c>
      <c r="B884" t="s">
        <v>223</v>
      </c>
      <c r="C884" t="s">
        <v>80</v>
      </c>
      <c r="D884" t="s">
        <v>22</v>
      </c>
      <c r="E884" t="s">
        <v>15</v>
      </c>
      <c r="F884" t="s">
        <v>16</v>
      </c>
      <c r="G884" t="s">
        <v>1570</v>
      </c>
      <c r="H884">
        <f>HYPERLINK("https://www.jouwictvacature.nl/solliciteren?job=docent-databases-enof-testing-bij-de-hogeschool-van-amsterdam-bij-hoge", "Link")</f>
        <v/>
      </c>
      <c r="I884" t="s">
        <v>17</v>
      </c>
      <c r="J884" t="s">
        <v>18</v>
      </c>
      <c r="K884" t="s">
        <v>1571</v>
      </c>
      <c r="L884" t="s">
        <v>1572</v>
      </c>
    </row>
    <row hidden="1" r="885" s="1" spans="1:12">
      <c r="A885" s="4" t="n">
        <v>43130</v>
      </c>
      <c r="B885" t="s">
        <v>478</v>
      </c>
      <c r="C885" t="s">
        <v>479</v>
      </c>
      <c r="D885" t="s">
        <v>245</v>
      </c>
      <c r="E885" t="s">
        <v>15</v>
      </c>
      <c r="F885" t="s">
        <v>16</v>
      </c>
      <c r="G885" t="s">
        <v>480</v>
      </c>
      <c r="H885">
        <f>HYPERLINK("https://www.jouwictvacature.nl/solliciteren?job=gedreven-medior-zend-developer-bij-square", "Link")</f>
        <v/>
      </c>
      <c r="I885" t="s">
        <v>17</v>
      </c>
      <c r="J885" t="s">
        <v>18</v>
      </c>
      <c r="K885" t="s">
        <v>481</v>
      </c>
      <c r="L885" t="s">
        <v>482</v>
      </c>
    </row>
    <row hidden="1" r="886" s="1" spans="1:12">
      <c r="A886" s="4" t="n">
        <v>43132</v>
      </c>
      <c r="B886" t="s">
        <v>478</v>
      </c>
      <c r="C886" t="s">
        <v>479</v>
      </c>
      <c r="D886" t="s">
        <v>245</v>
      </c>
      <c r="E886" t="s">
        <v>15</v>
      </c>
      <c r="F886" t="s">
        <v>16</v>
      </c>
      <c r="G886" t="s">
        <v>483</v>
      </c>
      <c r="H886">
        <f>HYPERLINK("https://www.jouwictvacature.nl/solliciteren?job=gedreven-senior-zend-developer-met-ervaring-gezocht-bij-square", "Link")</f>
        <v/>
      </c>
      <c r="I886" t="s">
        <v>17</v>
      </c>
      <c r="J886" t="s">
        <v>18</v>
      </c>
      <c r="K886" t="s">
        <v>484</v>
      </c>
      <c r="L886" t="s">
        <v>485</v>
      </c>
    </row>
    <row hidden="1" r="887" s="1" spans="1:12">
      <c r="A887" s="4" t="n">
        <v>43130</v>
      </c>
      <c r="B887" t="s">
        <v>71</v>
      </c>
      <c r="C887" t="s">
        <v>38</v>
      </c>
      <c r="D887" t="s">
        <v>22</v>
      </c>
      <c r="E887" t="s">
        <v>15</v>
      </c>
      <c r="F887" t="s">
        <v>28</v>
      </c>
      <c r="G887" t="s">
        <v>1573</v>
      </c>
      <c r="H887">
        <f>HYPERLINK("https://www.jouwictvacature.nl/solliciteren?job=senior-feedback-engineer-bij-bartosz-bij-bartosz-eindhoven", "Link")</f>
        <v/>
      </c>
      <c r="I887" t="s">
        <v>17</v>
      </c>
      <c r="J887" t="s">
        <v>18</v>
      </c>
      <c r="K887" t="s">
        <v>78</v>
      </c>
      <c r="L887" t="s">
        <v>1574</v>
      </c>
    </row>
    <row hidden="1" r="888" s="1" spans="1:12">
      <c r="A888" s="4" t="n">
        <v>43130</v>
      </c>
      <c r="B888" t="s">
        <v>378</v>
      </c>
      <c r="C888" t="s">
        <v>309</v>
      </c>
      <c r="D888" t="s">
        <v>14</v>
      </c>
      <c r="E888" t="s">
        <v>15</v>
      </c>
      <c r="F888" t="s">
        <v>16</v>
      </c>
      <c r="G888" t="s">
        <v>1575</v>
      </c>
      <c r="H888">
        <f>HYPERLINK("https://www.jouwictvacature.nl/solliciteren?job=stageopdracht-testunit-cases-bij-opensatisfaction-te-amersfoort", "Link")</f>
        <v/>
      </c>
      <c r="I888" t="s">
        <v>17</v>
      </c>
      <c r="J888" t="s">
        <v>18</v>
      </c>
      <c r="K888" t="s">
        <v>759</v>
      </c>
      <c r="L888" t="s">
        <v>1576</v>
      </c>
    </row>
    <row hidden="1" r="889" s="1" spans="1:12">
      <c r="A889" s="4" t="n">
        <v>43130</v>
      </c>
      <c r="B889" t="s">
        <v>1099</v>
      </c>
      <c r="C889" t="s">
        <v>1100</v>
      </c>
      <c r="D889" t="s">
        <v>22</v>
      </c>
      <c r="E889" t="s">
        <v>15</v>
      </c>
      <c r="F889" t="s">
        <v>34</v>
      </c>
      <c r="G889" t="s">
        <v>1577</v>
      </c>
      <c r="H889">
        <f>HYPERLINK("https://www.jouwictvacature.nl/solliciteren?job=junior-java-software-developer--java-html-css-javascript-mobile-eclips", "Link")</f>
        <v/>
      </c>
      <c r="I889" t="s">
        <v>17</v>
      </c>
      <c r="J889" t="s">
        <v>18</v>
      </c>
      <c r="K889" t="s">
        <v>1102</v>
      </c>
      <c r="L889" t="s">
        <v>1578</v>
      </c>
    </row>
    <row hidden="1" r="890" s="1" spans="1:12">
      <c r="A890" s="4" t="n">
        <v>43130</v>
      </c>
      <c r="B890" t="s">
        <v>313</v>
      </c>
      <c r="C890" t="s">
        <v>62</v>
      </c>
      <c r="D890" t="s">
        <v>14</v>
      </c>
      <c r="E890" t="s">
        <v>15</v>
      </c>
      <c r="F890" t="s">
        <v>16</v>
      </c>
      <c r="G890" t="s">
        <v>1579</v>
      </c>
      <c r="H890">
        <f>HYPERLINK("https://www.jouwictvacature.nl/solliciteren?job=development-net-bijbaan-voor-ambitieuze-studenten-hbowo-in-utrecht", "Link")</f>
        <v/>
      </c>
      <c r="I890" t="s">
        <v>17</v>
      </c>
      <c r="J890" t="s">
        <v>18</v>
      </c>
      <c r="K890" t="s">
        <v>1580</v>
      </c>
      <c r="L890" t="s">
        <v>1581</v>
      </c>
    </row>
    <row hidden="1" r="891" s="1" spans="1:12">
      <c r="A891" s="4" t="n">
        <v>43130</v>
      </c>
      <c r="B891" t="s">
        <v>49</v>
      </c>
      <c r="C891" t="s">
        <v>50</v>
      </c>
      <c r="D891" t="s">
        <v>22</v>
      </c>
      <c r="E891" t="s">
        <v>15</v>
      </c>
      <c r="F891" t="s">
        <v>16</v>
      </c>
      <c r="G891" t="s">
        <v>1582</v>
      </c>
      <c r="H891">
        <f>HYPERLINK("https://www.jouwictvacature.nl/solliciteren?job=allround-developer-3", "Link")</f>
        <v/>
      </c>
      <c r="I891" t="s">
        <v>17</v>
      </c>
      <c r="J891" t="s">
        <v>18</v>
      </c>
      <c r="K891" t="s">
        <v>1247</v>
      </c>
      <c r="L891" t="s">
        <v>1583</v>
      </c>
    </row>
    <row r="892" spans="1:12">
      <c r="A892" s="4" t="n">
        <v>43130</v>
      </c>
      <c r="B892" t="s">
        <v>963</v>
      </c>
      <c r="C892" t="s">
        <v>38</v>
      </c>
      <c r="D892" t="s">
        <v>14</v>
      </c>
      <c r="E892" t="s">
        <v>51</v>
      </c>
      <c r="F892" t="s">
        <v>52</v>
      </c>
      <c r="G892" t="s">
        <v>1196</v>
      </c>
      <c r="H892">
        <f>HYPERLINK("https://www.jouwictvacature.nl/solliciteren?job=medior-software-engineer-focus-on-front-end-bij-pyton-an-amadeus-compa", "Link")</f>
        <v/>
      </c>
      <c r="I892" t="s">
        <v>17</v>
      </c>
      <c r="J892" t="s">
        <v>18</v>
      </c>
      <c r="K892" t="s">
        <v>965</v>
      </c>
      <c r="L892" t="s">
        <v>1197</v>
      </c>
    </row>
    <row hidden="1" r="893" s="1" spans="1:12">
      <c r="A893" s="4" t="n">
        <v>43130</v>
      </c>
      <c r="B893" t="s">
        <v>104</v>
      </c>
      <c r="C893" t="s">
        <v>93</v>
      </c>
      <c r="D893" t="s">
        <v>22</v>
      </c>
      <c r="E893" t="s">
        <v>15</v>
      </c>
      <c r="F893" t="s">
        <v>16</v>
      </c>
      <c r="G893" t="s">
        <v>104</v>
      </c>
      <c r="H893">
        <f>HYPERLINK("https://www.jouwictvacature.nl/solliciteren?job=medior-softwareontwikkelaar-bij-betabit-regio-rotterdam", "Link")</f>
        <v/>
      </c>
      <c r="I893" t="s">
        <v>17</v>
      </c>
      <c r="J893" t="s">
        <v>18</v>
      </c>
      <c r="K893" t="s">
        <v>1349</v>
      </c>
      <c r="L893" t="s">
        <v>1584</v>
      </c>
    </row>
    <row r="894" spans="1:12">
      <c r="A894" s="4" t="n">
        <v>43130</v>
      </c>
      <c r="B894" t="s">
        <v>382</v>
      </c>
      <c r="C894" t="s">
        <v>274</v>
      </c>
      <c r="D894" t="s">
        <v>14</v>
      </c>
      <c r="E894" t="s">
        <v>51</v>
      </c>
      <c r="F894" t="s">
        <v>34</v>
      </c>
      <c r="G894" t="s">
        <v>1179</v>
      </c>
      <c r="H894">
        <f>HYPERLINK("https://www.jouwictvacature.nl/solliciteren?job=junior-software-engineer--3", "Link")</f>
        <v/>
      </c>
      <c r="I894" t="s">
        <v>17</v>
      </c>
      <c r="J894" t="s">
        <v>18</v>
      </c>
      <c r="K894" t="s">
        <v>1180</v>
      </c>
      <c r="L894" t="s">
        <v>1181</v>
      </c>
    </row>
    <row hidden="1" r="895" s="1" spans="1:12">
      <c r="A895" s="4" t="n">
        <v>43130</v>
      </c>
      <c r="B895" t="s">
        <v>382</v>
      </c>
      <c r="C895" t="s">
        <v>274</v>
      </c>
      <c r="D895" t="s">
        <v>14</v>
      </c>
      <c r="E895" t="s">
        <v>15</v>
      </c>
      <c r="F895" t="s">
        <v>16</v>
      </c>
      <c r="G895" t="s">
        <v>382</v>
      </c>
      <c r="H895">
        <f>HYPERLINK("https://www.jouwictvacature.nl/solliciteren?job=senior-back-end-software-engineer-bij-ortec", "Link")</f>
        <v/>
      </c>
      <c r="I895" t="s">
        <v>17</v>
      </c>
      <c r="J895" t="s">
        <v>18</v>
      </c>
      <c r="K895" t="s">
        <v>1585</v>
      </c>
      <c r="L895" t="s">
        <v>1586</v>
      </c>
    </row>
    <row hidden="1" r="896" s="1" spans="1:12">
      <c r="A896" s="4" t="n">
        <v>43130</v>
      </c>
      <c r="B896" t="s">
        <v>12</v>
      </c>
      <c r="C896" t="s">
        <v>21</v>
      </c>
      <c r="D896" t="s">
        <v>14</v>
      </c>
      <c r="E896" t="s">
        <v>15</v>
      </c>
      <c r="F896" t="s">
        <v>16</v>
      </c>
      <c r="G896" t="s">
        <v>12</v>
      </c>
      <c r="H896">
        <f>HYPERLINK("https://www.jouwictvacature.nl/solliciteren?job=senior-net-ontwikkelaar-bij-4dotnet-2", "Link")</f>
        <v/>
      </c>
      <c r="I896" t="s">
        <v>17</v>
      </c>
      <c r="J896" t="s">
        <v>18</v>
      </c>
      <c r="K896" t="s">
        <v>19</v>
      </c>
      <c r="L896" t="s">
        <v>1587</v>
      </c>
    </row>
    <row hidden="1" r="897" s="1" spans="1:12">
      <c r="A897" s="4" t="n">
        <v>43130</v>
      </c>
      <c r="B897" t="s">
        <v>701</v>
      </c>
      <c r="C897" t="s">
        <v>702</v>
      </c>
      <c r="D897" t="s">
        <v>22</v>
      </c>
      <c r="E897" t="s">
        <v>15</v>
      </c>
      <c r="F897" t="s">
        <v>28</v>
      </c>
      <c r="G897" t="s">
        <v>1588</v>
      </c>
      <c r="H897">
        <f>HYPERLINK("https://www.jouwictvacature.nl/solliciteren?job=senior-aspnetc-ontwikkelaar", "Link")</f>
        <v/>
      </c>
      <c r="I897" t="s">
        <v>17</v>
      </c>
      <c r="J897" t="s">
        <v>18</v>
      </c>
      <c r="K897" t="s">
        <v>704</v>
      </c>
      <c r="L897" t="s">
        <v>1589</v>
      </c>
    </row>
    <row hidden="1" r="898" s="1" spans="1:12">
      <c r="A898" s="4" t="n">
        <v>43130</v>
      </c>
      <c r="B898" t="s">
        <v>386</v>
      </c>
      <c r="C898" t="s">
        <v>387</v>
      </c>
      <c r="D898" t="s">
        <v>14</v>
      </c>
      <c r="E898" t="s">
        <v>15</v>
      </c>
      <c r="F898" t="s">
        <v>28</v>
      </c>
      <c r="G898" t="s">
        <v>1590</v>
      </c>
      <c r="H898">
        <f>HYPERLINK("https://www.jouwictvacature.nl/solliciteren?job=senior-net-developer-bij-packs--oa-inhouse--studiebudget", "Link")</f>
        <v/>
      </c>
      <c r="I898" t="s">
        <v>17</v>
      </c>
      <c r="J898" t="s">
        <v>18</v>
      </c>
      <c r="K898" t="s">
        <v>389</v>
      </c>
      <c r="L898" t="s">
        <v>1591</v>
      </c>
    </row>
    <row hidden="1" r="899" s="1" spans="1:12">
      <c r="A899" s="4" t="n">
        <v>43130</v>
      </c>
      <c r="B899" t="s">
        <v>196</v>
      </c>
      <c r="C899" t="s">
        <v>197</v>
      </c>
      <c r="D899" t="s">
        <v>22</v>
      </c>
      <c r="E899" t="s">
        <v>15</v>
      </c>
      <c r="F899" t="s">
        <v>34</v>
      </c>
      <c r="G899" t="s">
        <v>1592</v>
      </c>
      <c r="H899">
        <f>HYPERLINK("https://www.jouwictvacature.nl/solliciteren?job=junior-c-net--reactjs-developer-bij-easyads-inhouse", "Link")</f>
        <v/>
      </c>
      <c r="I899" t="s">
        <v>17</v>
      </c>
      <c r="J899" t="s">
        <v>18</v>
      </c>
      <c r="K899" t="s">
        <v>199</v>
      </c>
      <c r="L899" t="s">
        <v>1593</v>
      </c>
    </row>
    <row hidden="1" r="900" s="1" spans="1:12">
      <c r="A900" s="4" t="n">
        <v>43132</v>
      </c>
      <c r="B900" t="s">
        <v>478</v>
      </c>
      <c r="C900" t="s">
        <v>479</v>
      </c>
      <c r="D900" t="s">
        <v>245</v>
      </c>
      <c r="E900" t="s">
        <v>15</v>
      </c>
      <c r="F900" t="s">
        <v>16</v>
      </c>
      <c r="G900" t="s">
        <v>1549</v>
      </c>
      <c r="H900">
        <f>HYPERLINK("https://www.jouwictvacature.nl/solliciteren?job=gedreven-junior-php-developer-bij-square", "Link")</f>
        <v/>
      </c>
      <c r="I900" t="s">
        <v>17</v>
      </c>
      <c r="J900" t="s">
        <v>18</v>
      </c>
      <c r="K900" t="s">
        <v>1011</v>
      </c>
      <c r="L900" t="s">
        <v>1550</v>
      </c>
    </row>
    <row r="901" spans="1:12">
      <c r="A901" s="4" t="n">
        <v>43130</v>
      </c>
      <c r="B901" t="s">
        <v>1033</v>
      </c>
      <c r="C901" t="s">
        <v>62</v>
      </c>
      <c r="D901" t="s">
        <v>245</v>
      </c>
      <c r="E901" t="s">
        <v>51</v>
      </c>
      <c r="F901" t="s">
        <v>16</v>
      </c>
      <c r="G901" t="s">
        <v>1033</v>
      </c>
      <c r="H901">
        <f>HYPERLINK("https://www.jouwictvacature.nl/solliciteren?job=senior-front-end-developer-bij-stackstate", "Link")</f>
        <v/>
      </c>
      <c r="I901" t="s">
        <v>17</v>
      </c>
      <c r="J901" t="s">
        <v>18</v>
      </c>
      <c r="K901" t="s">
        <v>1034</v>
      </c>
      <c r="L901" t="s">
        <v>1035</v>
      </c>
    </row>
    <row hidden="1" r="902" s="1" spans="1:12">
      <c r="A902" s="4" t="n">
        <v>43129</v>
      </c>
      <c r="B902" t="s">
        <v>958</v>
      </c>
      <c r="C902" t="s">
        <v>959</v>
      </c>
      <c r="D902" t="s">
        <v>245</v>
      </c>
      <c r="E902" t="s">
        <v>15</v>
      </c>
      <c r="F902" t="s">
        <v>16</v>
      </c>
      <c r="G902" t="s">
        <v>958</v>
      </c>
      <c r="H902">
        <f>HYPERLINK("https://www.jouwictvacature.nl/solliciteren?job=senior-front-end-developer-bij-codarts-hogeschool-voor-de-kunsten-bij--2", "Link")</f>
        <v/>
      </c>
      <c r="I902" t="s">
        <v>17</v>
      </c>
      <c r="J902" t="s">
        <v>18</v>
      </c>
      <c r="K902" t="s">
        <v>960</v>
      </c>
      <c r="L902" t="s">
        <v>1594</v>
      </c>
    </row>
    <row hidden="1" r="903" s="1" spans="1:12">
      <c r="A903" s="4" t="n">
        <v>43130</v>
      </c>
      <c r="B903" t="s">
        <v>358</v>
      </c>
      <c r="C903" t="s">
        <v>359</v>
      </c>
      <c r="D903" t="s">
        <v>14</v>
      </c>
      <c r="E903" t="s">
        <v>15</v>
      </c>
      <c r="F903" t="s">
        <v>52</v>
      </c>
      <c r="G903" t="s">
        <v>711</v>
      </c>
      <c r="H903">
        <f>HYPERLINK("https://www.jouwictvacature.nl/solliciteren?job=medior-php-developer-bij-nobears", "Link")</f>
        <v/>
      </c>
      <c r="I903" t="s">
        <v>17</v>
      </c>
      <c r="J903" t="s">
        <v>18</v>
      </c>
      <c r="K903" t="s">
        <v>361</v>
      </c>
      <c r="L903" t="s">
        <v>712</v>
      </c>
    </row>
    <row hidden="1" r="904" s="1" spans="1:12">
      <c r="A904" s="4" t="n">
        <v>43130</v>
      </c>
      <c r="B904" t="s">
        <v>958</v>
      </c>
      <c r="C904" t="s">
        <v>959</v>
      </c>
      <c r="D904" t="s">
        <v>245</v>
      </c>
      <c r="E904" t="s">
        <v>15</v>
      </c>
      <c r="F904" t="s">
        <v>16</v>
      </c>
      <c r="G904" t="s">
        <v>958</v>
      </c>
      <c r="H904">
        <f>HYPERLINK("https://www.jouwictvacature.nl/solliciteren?job=junior-front-end-developer-bij-codarts-hogeschool-voor-de-kunsten-bij-", "Link")</f>
        <v/>
      </c>
      <c r="I904" t="s">
        <v>17</v>
      </c>
      <c r="J904" t="s">
        <v>18</v>
      </c>
      <c r="K904" t="s">
        <v>960</v>
      </c>
      <c r="L904" t="s">
        <v>1595</v>
      </c>
    </row>
    <row hidden="1" r="905" s="1" spans="1:12">
      <c r="A905" s="4" t="n">
        <v>43130</v>
      </c>
      <c r="B905" t="s">
        <v>881</v>
      </c>
      <c r="C905" t="s">
        <v>428</v>
      </c>
      <c r="D905" t="s">
        <v>22</v>
      </c>
      <c r="E905" t="s">
        <v>15</v>
      </c>
      <c r="F905" t="s">
        <v>28</v>
      </c>
      <c r="G905" t="s">
        <v>882</v>
      </c>
      <c r="H905">
        <f>HYPERLINK("https://www.jouwictvacature.nl/solliciteren?job=senior-laravel-php-developer-bij-cepo", "Link")</f>
        <v/>
      </c>
      <c r="I905" t="s">
        <v>17</v>
      </c>
      <c r="J905" t="s">
        <v>18</v>
      </c>
      <c r="K905" t="s">
        <v>883</v>
      </c>
      <c r="L905" t="s">
        <v>884</v>
      </c>
    </row>
    <row hidden="1" r="906" s="1" spans="1:12">
      <c r="A906" s="4" t="n">
        <v>43130</v>
      </c>
      <c r="B906" t="s">
        <v>486</v>
      </c>
      <c r="C906" t="s">
        <v>38</v>
      </c>
      <c r="D906" t="s">
        <v>245</v>
      </c>
      <c r="E906" t="s">
        <v>15</v>
      </c>
      <c r="F906" t="s">
        <v>28</v>
      </c>
      <c r="G906" t="s">
        <v>490</v>
      </c>
      <c r="H906">
        <f>HYPERLINK("https://www.jouwictvacature.nl/solliciteren?job=senior-java-developer-for-digital-signage-and-in-store-audio", "Link")</f>
        <v/>
      </c>
      <c r="I906" t="s">
        <v>17</v>
      </c>
      <c r="J906" t="s">
        <v>18</v>
      </c>
      <c r="K906" t="s">
        <v>491</v>
      </c>
      <c r="L906" t="s">
        <v>492</v>
      </c>
    </row>
    <row hidden="1" r="907" s="1" spans="1:12">
      <c r="A907" s="4" t="n">
        <v>43130</v>
      </c>
      <c r="B907" t="s">
        <v>293</v>
      </c>
      <c r="C907" t="s">
        <v>294</v>
      </c>
      <c r="D907" t="s">
        <v>14</v>
      </c>
      <c r="E907" t="s">
        <v>15</v>
      </c>
      <c r="F907" t="s">
        <v>28</v>
      </c>
      <c r="G907" t="s">
        <v>295</v>
      </c>
      <c r="H907">
        <f>HYPERLINK("https://www.jouwictvacature.nl/solliciteren?job=senior-php-developer--fulltime-bij-koekenpeer", "Link")</f>
        <v/>
      </c>
      <c r="I907" t="s">
        <v>17</v>
      </c>
      <c r="J907" t="s">
        <v>18</v>
      </c>
      <c r="K907" t="s">
        <v>296</v>
      </c>
      <c r="L907" t="s">
        <v>297</v>
      </c>
    </row>
    <row hidden="1" r="908" s="1" spans="1:12">
      <c r="A908" s="4" t="n">
        <v>43130</v>
      </c>
      <c r="B908" t="s">
        <v>881</v>
      </c>
      <c r="C908" t="s">
        <v>428</v>
      </c>
      <c r="D908" t="s">
        <v>22</v>
      </c>
      <c r="E908" t="s">
        <v>15</v>
      </c>
      <c r="F908" t="s">
        <v>52</v>
      </c>
      <c r="G908" t="s">
        <v>301</v>
      </c>
      <c r="H908">
        <f>HYPERLINK("https://www.jouwictvacature.nl/solliciteren?job=medior-php-developer-bij-cepo", "Link")</f>
        <v/>
      </c>
      <c r="I908" t="s">
        <v>17</v>
      </c>
      <c r="J908" t="s">
        <v>18</v>
      </c>
      <c r="K908" t="s">
        <v>883</v>
      </c>
      <c r="L908" t="s">
        <v>1596</v>
      </c>
    </row>
    <row hidden="1" r="909" s="1" spans="1:12">
      <c r="A909" s="4" t="n">
        <v>43130</v>
      </c>
      <c r="B909" t="s">
        <v>627</v>
      </c>
      <c r="C909" t="s">
        <v>80</v>
      </c>
      <c r="D909" t="s">
        <v>14</v>
      </c>
      <c r="E909" t="s">
        <v>15</v>
      </c>
      <c r="F909" t="s">
        <v>16</v>
      </c>
      <c r="G909" t="s">
        <v>627</v>
      </c>
      <c r="H909">
        <f>HYPERLINK("https://www.jouwictvacature.nl/solliciteren?job=php-developer-bij-imu-", "Link")</f>
        <v/>
      </c>
      <c r="I909" t="s">
        <v>17</v>
      </c>
      <c r="J909" t="s">
        <v>18</v>
      </c>
      <c r="K909" t="s">
        <v>628</v>
      </c>
      <c r="L909" t="s">
        <v>629</v>
      </c>
    </row>
    <row hidden="1" r="910" s="1" spans="1:12">
      <c r="A910" s="4" t="n">
        <v>43130</v>
      </c>
      <c r="B910" t="s">
        <v>486</v>
      </c>
      <c r="C910" t="s">
        <v>38</v>
      </c>
      <c r="D910" t="s">
        <v>245</v>
      </c>
      <c r="E910" t="s">
        <v>15</v>
      </c>
      <c r="F910" t="s">
        <v>28</v>
      </c>
      <c r="G910" t="s">
        <v>487</v>
      </c>
      <c r="H910">
        <f>HYPERLINK("https://www.jouwictvacature.nl/solliciteren?job=senior-back-end-developer--webapplicaties--ruby-rails-aws-heroku-bij-s", "Link")</f>
        <v/>
      </c>
      <c r="I910" t="s">
        <v>17</v>
      </c>
      <c r="J910" t="s">
        <v>18</v>
      </c>
      <c r="K910" t="s">
        <v>488</v>
      </c>
      <c r="L910" t="s">
        <v>489</v>
      </c>
    </row>
    <row hidden="1" r="911" s="1" spans="1:12">
      <c r="A911" s="4" t="n">
        <v>43129</v>
      </c>
      <c r="B911" t="s">
        <v>493</v>
      </c>
      <c r="C911" t="s">
        <v>72</v>
      </c>
      <c r="D911" t="s">
        <v>245</v>
      </c>
      <c r="E911" t="s">
        <v>15</v>
      </c>
      <c r="F911" t="s">
        <v>16</v>
      </c>
      <c r="G911" t="s">
        <v>1597</v>
      </c>
      <c r="H911">
        <f>HYPERLINK("https://www.jouwictvacature.nl/solliciteren?job=magento-developer-met-ambitie", "Link")</f>
        <v/>
      </c>
      <c r="I911" t="s">
        <v>17</v>
      </c>
      <c r="J911" t="s">
        <v>18</v>
      </c>
      <c r="K911" t="s">
        <v>495</v>
      </c>
      <c r="L911" t="s">
        <v>1598</v>
      </c>
    </row>
    <row r="912" spans="1:12">
      <c r="A912" s="4" t="n">
        <v>43130</v>
      </c>
      <c r="B912" t="s">
        <v>668</v>
      </c>
      <c r="C912" t="s">
        <v>522</v>
      </c>
      <c r="D912" t="s">
        <v>22</v>
      </c>
      <c r="E912" t="s">
        <v>51</v>
      </c>
      <c r="F912" t="s">
        <v>16</v>
      </c>
      <c r="G912" t="s">
        <v>1258</v>
      </c>
      <c r="H912">
        <f>HYPERLINK("https://www.jouwictvacature.nl/solliciteren?job=front-end-developer-at-bizzdesign", "Link")</f>
        <v/>
      </c>
      <c r="I912" t="s">
        <v>17</v>
      </c>
      <c r="J912" t="s">
        <v>18</v>
      </c>
      <c r="K912" t="s">
        <v>1259</v>
      </c>
      <c r="L912" t="s">
        <v>1260</v>
      </c>
    </row>
    <row hidden="1" r="913" s="1" spans="1:12">
      <c r="A913" s="4" t="n">
        <v>43129</v>
      </c>
      <c r="B913" t="s">
        <v>493</v>
      </c>
      <c r="C913" t="s">
        <v>72</v>
      </c>
      <c r="D913" t="s">
        <v>245</v>
      </c>
      <c r="E913" t="s">
        <v>15</v>
      </c>
      <c r="F913" t="s">
        <v>16</v>
      </c>
      <c r="G913" t="s">
        <v>1599</v>
      </c>
      <c r="H913">
        <f>HYPERLINK("https://www.jouwictvacature.nl/solliciteren?job=gedreven-backend-medior--senior-developer-2", "Link")</f>
        <v/>
      </c>
      <c r="I913" t="s">
        <v>17</v>
      </c>
      <c r="J913" t="s">
        <v>18</v>
      </c>
      <c r="K913" t="s">
        <v>495</v>
      </c>
      <c r="L913" t="s">
        <v>1600</v>
      </c>
    </row>
    <row hidden="1" r="914" s="1" spans="1:12">
      <c r="A914" s="4" t="n">
        <v>43129</v>
      </c>
      <c r="B914" t="s">
        <v>493</v>
      </c>
      <c r="C914" t="s">
        <v>72</v>
      </c>
      <c r="D914" t="s">
        <v>245</v>
      </c>
      <c r="E914" t="s">
        <v>15</v>
      </c>
      <c r="F914" t="s">
        <v>16</v>
      </c>
      <c r="G914" t="s">
        <v>1597</v>
      </c>
      <c r="H914">
        <f>HYPERLINK("https://www.jouwictvacature.nl/solliciteren?job=magento-developer-met-ambitie", "Link")</f>
        <v/>
      </c>
      <c r="I914" t="s">
        <v>17</v>
      </c>
      <c r="J914" t="s">
        <v>18</v>
      </c>
      <c r="K914" t="s">
        <v>495</v>
      </c>
      <c r="L914" t="s">
        <v>1598</v>
      </c>
    </row>
    <row hidden="1" r="915" s="1" spans="1:12">
      <c r="A915" s="4" t="n">
        <v>43130</v>
      </c>
      <c r="B915" t="s">
        <v>753</v>
      </c>
      <c r="C915" t="s">
        <v>309</v>
      </c>
      <c r="D915" t="s">
        <v>22</v>
      </c>
      <c r="E915" t="s">
        <v>15</v>
      </c>
      <c r="F915" t="s">
        <v>16</v>
      </c>
      <c r="G915" t="s">
        <v>753</v>
      </c>
      <c r="H915">
        <f>HYPERLINK("https://www.jouwictvacature.nl/solliciteren?job=allround-designer-bij-creabea", "Link")</f>
        <v/>
      </c>
      <c r="I915" t="s">
        <v>17</v>
      </c>
      <c r="J915" t="s">
        <v>18</v>
      </c>
      <c r="K915" t="s">
        <v>754</v>
      </c>
      <c r="L915" t="s">
        <v>1601</v>
      </c>
    </row>
    <row hidden="1" r="916" s="1" spans="1:12">
      <c r="A916" s="4" t="n">
        <v>43130</v>
      </c>
      <c r="B916" t="s">
        <v>745</v>
      </c>
      <c r="C916" t="s">
        <v>80</v>
      </c>
      <c r="D916" t="s">
        <v>22</v>
      </c>
      <c r="E916" t="s">
        <v>15</v>
      </c>
      <c r="F916" t="s">
        <v>16</v>
      </c>
      <c r="G916" t="s">
        <v>745</v>
      </c>
      <c r="H916">
        <f>HYPERLINK("https://www.jouwictvacature.nl/solliciteren?job=medior-front-end-developer-bij-hostnet", "Link")</f>
        <v/>
      </c>
      <c r="I916" t="s">
        <v>17</v>
      </c>
      <c r="J916" t="s">
        <v>18</v>
      </c>
      <c r="K916" t="s">
        <v>746</v>
      </c>
      <c r="L916" t="s">
        <v>747</v>
      </c>
    </row>
    <row hidden="1" r="917" s="1" spans="1:12">
      <c r="A917" s="4" t="n">
        <v>43130</v>
      </c>
      <c r="B917" t="s">
        <v>37</v>
      </c>
      <c r="C917" t="s">
        <v>38</v>
      </c>
      <c r="D917" t="s">
        <v>22</v>
      </c>
      <c r="E917" t="s">
        <v>15</v>
      </c>
      <c r="F917" t="s">
        <v>52</v>
      </c>
      <c r="G917" t="s">
        <v>1602</v>
      </c>
      <c r="H917">
        <f>HYPERLINK("https://www.jouwictvacature.nl/solliciteren?job=senior-web-developer-focus-on-front-end-", "Link")</f>
        <v/>
      </c>
      <c r="I917" t="s">
        <v>17</v>
      </c>
      <c r="J917" t="s">
        <v>18</v>
      </c>
      <c r="K917" t="s">
        <v>40</v>
      </c>
      <c r="L917" t="s">
        <v>1603</v>
      </c>
    </row>
    <row hidden="1" r="918" s="1" spans="1:12">
      <c r="A918" s="4" t="n">
        <v>43130</v>
      </c>
      <c r="B918" t="s">
        <v>332</v>
      </c>
      <c r="C918" t="s">
        <v>333</v>
      </c>
      <c r="D918" t="s">
        <v>14</v>
      </c>
      <c r="E918" t="s">
        <v>15</v>
      </c>
      <c r="F918" t="s">
        <v>28</v>
      </c>
      <c r="G918" t="s">
        <v>1418</v>
      </c>
      <c r="H918">
        <f>HYPERLINK("https://www.jouwictvacature.nl/solliciteren?job=seniorjavascript-developer-bij-mplus", "Link")</f>
        <v/>
      </c>
      <c r="I918" t="s">
        <v>17</v>
      </c>
      <c r="J918" t="s">
        <v>18</v>
      </c>
      <c r="K918" t="s">
        <v>340</v>
      </c>
      <c r="L918" t="s">
        <v>1604</v>
      </c>
    </row>
    <row hidden="1" r="919" s="1" spans="1:12">
      <c r="A919" s="4" t="n">
        <v>43129</v>
      </c>
      <c r="B919" t="s">
        <v>493</v>
      </c>
      <c r="C919" t="s">
        <v>72</v>
      </c>
      <c r="D919" t="s">
        <v>245</v>
      </c>
      <c r="E919" t="s">
        <v>15</v>
      </c>
      <c r="F919" t="s">
        <v>16</v>
      </c>
      <c r="G919" t="s">
        <v>493</v>
      </c>
      <c r="H919">
        <f>HYPERLINK("https://www.jouwictvacature.nl/solliciteren?job=senior-web-developer-met-front-end-focus-bij-sumedia", "Link")</f>
        <v/>
      </c>
      <c r="I919" t="s">
        <v>17</v>
      </c>
      <c r="J919" t="s">
        <v>18</v>
      </c>
      <c r="K919" t="s">
        <v>1605</v>
      </c>
      <c r="L919" t="s">
        <v>1606</v>
      </c>
    </row>
    <row hidden="1" r="920" s="1" spans="1:12">
      <c r="A920" s="4" t="n">
        <v>43130</v>
      </c>
      <c r="B920" t="s">
        <v>493</v>
      </c>
      <c r="C920" t="s">
        <v>72</v>
      </c>
      <c r="D920" t="s">
        <v>245</v>
      </c>
      <c r="E920" t="s">
        <v>15</v>
      </c>
      <c r="F920" t="s">
        <v>16</v>
      </c>
      <c r="G920" t="s">
        <v>493</v>
      </c>
      <c r="H920">
        <f>HYPERLINK("https://www.jouwictvacature.nl/solliciteren?job=front-end-developer-bij-sumedia", "Link")</f>
        <v/>
      </c>
      <c r="I920" t="s">
        <v>17</v>
      </c>
      <c r="J920" t="s">
        <v>18</v>
      </c>
      <c r="K920" t="s">
        <v>1605</v>
      </c>
      <c r="L920" t="s">
        <v>1607</v>
      </c>
    </row>
    <row hidden="1" r="921" s="1" spans="1:12">
      <c r="A921" s="4" t="n">
        <v>43130</v>
      </c>
      <c r="B921" t="s">
        <v>174</v>
      </c>
      <c r="C921" t="s">
        <v>62</v>
      </c>
      <c r="D921" t="s">
        <v>22</v>
      </c>
      <c r="E921" t="s">
        <v>15</v>
      </c>
      <c r="F921" t="s">
        <v>28</v>
      </c>
      <c r="G921" t="s">
        <v>187</v>
      </c>
      <c r="H921">
        <f>HYPERLINK("https://www.jouwictvacature.nl/solliciteren?job=senior-mobile-developer-bij-dpa-geos-bij-dpa-geos", "Link")</f>
        <v/>
      </c>
      <c r="I921" t="s">
        <v>17</v>
      </c>
      <c r="J921" t="s">
        <v>18</v>
      </c>
      <c r="K921" t="s">
        <v>188</v>
      </c>
      <c r="L921" t="s">
        <v>189</v>
      </c>
    </row>
    <row hidden="1" r="922" s="1" spans="1:12">
      <c r="A922" s="4" t="n">
        <v>43130</v>
      </c>
      <c r="B922" t="s">
        <v>218</v>
      </c>
      <c r="C922" t="s">
        <v>219</v>
      </c>
      <c r="D922" t="s">
        <v>22</v>
      </c>
      <c r="E922" t="s">
        <v>15</v>
      </c>
      <c r="F922" t="s">
        <v>28</v>
      </c>
      <c r="G922" t="s">
        <v>1608</v>
      </c>
      <c r="H922">
        <f>HYPERLINK("https://www.jouwictvacature.nl/solliciteren?job=senior-agile-test-engineer-bij-het-consultancyhuis-bij-het-consultancy", "Link")</f>
        <v/>
      </c>
      <c r="I922" t="s">
        <v>17</v>
      </c>
      <c r="J922" t="s">
        <v>18</v>
      </c>
      <c r="K922" t="s">
        <v>1609</v>
      </c>
      <c r="L922" t="s">
        <v>1610</v>
      </c>
    </row>
    <row hidden="1" r="923" s="1" spans="1:12">
      <c r="A923" s="4" t="n">
        <v>43130</v>
      </c>
      <c r="B923" t="s">
        <v>71</v>
      </c>
      <c r="C923" t="s">
        <v>93</v>
      </c>
      <c r="D923" t="s">
        <v>22</v>
      </c>
      <c r="E923" t="s">
        <v>15</v>
      </c>
      <c r="F923" t="s">
        <v>52</v>
      </c>
      <c r="G923" t="s">
        <v>94</v>
      </c>
      <c r="H923">
        <f>HYPERLINK("https://www.jouwictvacature.nl/solliciteren?job=medior-testanalist-bij-bartosz-bij-bartosz-rotterdam", "Link")</f>
        <v/>
      </c>
      <c r="I923" t="s">
        <v>17</v>
      </c>
      <c r="J923" t="s">
        <v>18</v>
      </c>
      <c r="K923" t="s">
        <v>95</v>
      </c>
      <c r="L923" t="s">
        <v>96</v>
      </c>
    </row>
    <row hidden="1" r="924" s="1" spans="1:12">
      <c r="A924" s="4" t="n">
        <v>43130</v>
      </c>
      <c r="B924" t="s">
        <v>164</v>
      </c>
      <c r="C924" t="s">
        <v>80</v>
      </c>
      <c r="D924" t="s">
        <v>22</v>
      </c>
      <c r="E924" t="s">
        <v>15</v>
      </c>
      <c r="F924" t="s">
        <v>34</v>
      </c>
      <c r="G924" t="s">
        <v>1611</v>
      </c>
      <c r="H924">
        <f>HYPERLINK("https://www.jouwictvacature.nl/solliciteren?job=junior-java-developer-met-interesse-in-iot-bij-dexels-in-amsterdam", "Link")</f>
        <v/>
      </c>
      <c r="I924" t="s">
        <v>17</v>
      </c>
      <c r="J924" t="s">
        <v>18</v>
      </c>
      <c r="K924" t="s">
        <v>1612</v>
      </c>
      <c r="L924" t="s">
        <v>1613</v>
      </c>
    </row>
    <row hidden="1" r="925" s="1" spans="1:12">
      <c r="A925" s="4" t="n">
        <v>43130</v>
      </c>
      <c r="B925" t="s">
        <v>218</v>
      </c>
      <c r="C925" t="s">
        <v>219</v>
      </c>
      <c r="D925" t="s">
        <v>22</v>
      </c>
      <c r="E925" t="s">
        <v>15</v>
      </c>
      <c r="F925" t="s">
        <v>52</v>
      </c>
      <c r="G925" t="s">
        <v>220</v>
      </c>
      <c r="H925">
        <f>HYPERLINK("https://www.jouwictvacature.nl/solliciteren?job=medior-agile-test-engineer-bij-het-consultancyhuis", "Link")</f>
        <v/>
      </c>
      <c r="I925" t="s">
        <v>17</v>
      </c>
      <c r="J925" t="s">
        <v>18</v>
      </c>
      <c r="K925" t="s">
        <v>221</v>
      </c>
      <c r="L925" t="s">
        <v>222</v>
      </c>
    </row>
    <row hidden="1" r="926" s="1" spans="1:12">
      <c r="A926" s="4" t="n">
        <v>43130</v>
      </c>
      <c r="B926" t="s">
        <v>115</v>
      </c>
      <c r="C926" t="s">
        <v>62</v>
      </c>
      <c r="D926" t="s">
        <v>22</v>
      </c>
      <c r="E926" t="s">
        <v>15</v>
      </c>
      <c r="F926" t="s">
        <v>52</v>
      </c>
      <c r="G926" t="s">
        <v>1614</v>
      </c>
      <c r="H926">
        <f>HYPERLINK("https://www.jouwictvacature.nl/solliciteren?job=medior-java-developer-in-utrecht--spring-boot-reactor-cloud-bij-bottom", "Link")</f>
        <v/>
      </c>
      <c r="I926" t="s">
        <v>17</v>
      </c>
      <c r="J926" t="s">
        <v>18</v>
      </c>
      <c r="K926" t="s">
        <v>121</v>
      </c>
      <c r="L926" t="s">
        <v>1615</v>
      </c>
    </row>
    <row hidden="1" r="927" s="1" spans="1:12">
      <c r="A927" s="4" t="n">
        <v>43130</v>
      </c>
      <c r="B927" t="s">
        <v>71</v>
      </c>
      <c r="C927" t="s">
        <v>62</v>
      </c>
      <c r="D927" t="s">
        <v>22</v>
      </c>
      <c r="E927" t="s">
        <v>15</v>
      </c>
      <c r="F927" t="s">
        <v>28</v>
      </c>
      <c r="G927" t="s">
        <v>1616</v>
      </c>
      <c r="H927">
        <f>HYPERLINK("https://www.jouwictvacature.nl/solliciteren?job=senior-feedback-engineer--exploratory-testing-context-driven-testing-b-2", "Link")</f>
        <v/>
      </c>
      <c r="I927" t="s">
        <v>17</v>
      </c>
      <c r="J927" t="s">
        <v>18</v>
      </c>
      <c r="K927" t="s">
        <v>78</v>
      </c>
      <c r="L927" t="s">
        <v>1617</v>
      </c>
    </row>
    <row hidden="1" r="928" s="1" spans="1:12">
      <c r="A928" s="4" t="n">
        <v>43130</v>
      </c>
      <c r="B928" t="s">
        <v>493</v>
      </c>
      <c r="C928" t="s">
        <v>72</v>
      </c>
      <c r="D928" t="s">
        <v>245</v>
      </c>
      <c r="E928" t="s">
        <v>15</v>
      </c>
      <c r="F928" t="s">
        <v>16</v>
      </c>
      <c r="G928" t="s">
        <v>1599</v>
      </c>
      <c r="H928">
        <f>HYPERLINK("https://www.jouwictvacature.nl/solliciteren?job=gedreven-backend-medior--senior-developer-2", "Link")</f>
        <v/>
      </c>
      <c r="I928" t="s">
        <v>17</v>
      </c>
      <c r="J928" t="s">
        <v>18</v>
      </c>
      <c r="K928" t="s">
        <v>495</v>
      </c>
      <c r="L928" t="s">
        <v>1600</v>
      </c>
    </row>
    <row hidden="1" r="929" s="1" spans="1:12">
      <c r="A929" s="4" t="n">
        <v>43130</v>
      </c>
      <c r="B929" t="s">
        <v>174</v>
      </c>
      <c r="C929" t="s">
        <v>93</v>
      </c>
      <c r="D929" t="s">
        <v>22</v>
      </c>
      <c r="E929" t="s">
        <v>15</v>
      </c>
      <c r="F929" t="s">
        <v>52</v>
      </c>
      <c r="G929" t="s">
        <v>761</v>
      </c>
      <c r="H929">
        <f>HYPERLINK("https://www.jouwictvacature.nl/solliciteren?job=medior-mobile-developer--ios-android-phonegap-objective-c-java-swift-b-4", "Link")</f>
        <v/>
      </c>
      <c r="I929" t="s">
        <v>17</v>
      </c>
      <c r="J929" t="s">
        <v>18</v>
      </c>
      <c r="K929" t="s">
        <v>188</v>
      </c>
      <c r="L929" t="s">
        <v>762</v>
      </c>
    </row>
    <row hidden="1" r="930" s="1" spans="1:12">
      <c r="A930" s="4" t="n">
        <v>43130</v>
      </c>
      <c r="B930" t="s">
        <v>382</v>
      </c>
      <c r="C930" t="s">
        <v>274</v>
      </c>
      <c r="D930" t="s">
        <v>14</v>
      </c>
      <c r="E930" t="s">
        <v>15</v>
      </c>
      <c r="F930" t="s">
        <v>16</v>
      </c>
      <c r="G930" t="s">
        <v>382</v>
      </c>
      <c r="H930">
        <f>HYPERLINK("https://www.jouwictvacature.nl/solliciteren?job=junior-software-engineer-bij-ortec", "Link")</f>
        <v/>
      </c>
      <c r="I930" t="s">
        <v>17</v>
      </c>
      <c r="J930" t="s">
        <v>18</v>
      </c>
      <c r="K930" t="s">
        <v>1618</v>
      </c>
      <c r="L930" t="s">
        <v>1619</v>
      </c>
    </row>
    <row hidden="1" r="931" s="1" spans="1:12">
      <c r="A931" s="4" t="n">
        <v>43130</v>
      </c>
      <c r="B931" t="s">
        <v>493</v>
      </c>
      <c r="C931" t="s">
        <v>72</v>
      </c>
      <c r="D931" t="s">
        <v>245</v>
      </c>
      <c r="E931" t="s">
        <v>15</v>
      </c>
      <c r="F931" t="s">
        <v>28</v>
      </c>
      <c r="G931" t="s">
        <v>734</v>
      </c>
      <c r="H931">
        <f>HYPERLINK("https://www.jouwictvacature.nl/solliciteren?job=senior-full-stack-developer-bij-sumedia", "Link")</f>
        <v/>
      </c>
      <c r="I931" t="s">
        <v>17</v>
      </c>
      <c r="J931" t="s">
        <v>18</v>
      </c>
      <c r="K931" t="s">
        <v>495</v>
      </c>
      <c r="L931" t="s">
        <v>735</v>
      </c>
    </row>
    <row hidden="1" r="932" s="1" spans="1:12">
      <c r="A932" s="4" t="n">
        <v>43130</v>
      </c>
      <c r="B932" t="s">
        <v>346</v>
      </c>
      <c r="C932" t="s">
        <v>80</v>
      </c>
      <c r="D932" t="s">
        <v>14</v>
      </c>
      <c r="E932" t="s">
        <v>15</v>
      </c>
      <c r="F932" t="s">
        <v>16</v>
      </c>
      <c r="G932" t="s">
        <v>1620</v>
      </c>
      <c r="H932">
        <f>HYPERLINK("https://www.jouwictvacature.nl/solliciteren?job=webdeveloper-c-bij-mwm2", "Link")</f>
        <v/>
      </c>
      <c r="I932" t="s">
        <v>17</v>
      </c>
      <c r="J932" t="s">
        <v>18</v>
      </c>
      <c r="K932" t="s">
        <v>348</v>
      </c>
      <c r="L932" t="s">
        <v>1621</v>
      </c>
    </row>
    <row hidden="1" r="933" s="1" spans="1:12">
      <c r="A933" s="4" t="n">
        <v>43130</v>
      </c>
      <c r="B933" t="s">
        <v>618</v>
      </c>
      <c r="C933" t="s">
        <v>619</v>
      </c>
      <c r="D933" t="s">
        <v>22</v>
      </c>
      <c r="E933" t="s">
        <v>15</v>
      </c>
      <c r="F933" t="s">
        <v>34</v>
      </c>
      <c r="G933" t="s">
        <v>1233</v>
      </c>
      <c r="H933">
        <f>HYPERLINK("https://www.jouwictvacature.nl/solliciteren?job=medior-developer-net-applicaties-voor-mooie-klanten-als-de-efteling--n", "Link")</f>
        <v/>
      </c>
      <c r="I933" t="s">
        <v>17</v>
      </c>
      <c r="J933" t="s">
        <v>18</v>
      </c>
      <c r="K933" t="s">
        <v>621</v>
      </c>
      <c r="L933" t="s">
        <v>1234</v>
      </c>
    </row>
    <row hidden="1" r="934" s="1" spans="1:12">
      <c r="A934" s="4" t="n">
        <v>43130</v>
      </c>
      <c r="B934" t="s">
        <v>693</v>
      </c>
      <c r="C934" t="s">
        <v>694</v>
      </c>
      <c r="D934" t="s">
        <v>22</v>
      </c>
      <c r="E934" t="s">
        <v>15</v>
      </c>
      <c r="F934" t="s">
        <v>16</v>
      </c>
      <c r="G934" t="s">
        <v>693</v>
      </c>
      <c r="H934">
        <f>HYPERLINK("https://www.jouwictvacature.nl/solliciteren?job=senior-mendix-ontwikkelaar-", "Link")</f>
        <v/>
      </c>
      <c r="I934" t="s">
        <v>17</v>
      </c>
      <c r="J934" t="s">
        <v>18</v>
      </c>
      <c r="K934" t="s">
        <v>695</v>
      </c>
      <c r="L934" t="s">
        <v>696</v>
      </c>
    </row>
    <row hidden="1" r="935" s="1" spans="1:12">
      <c r="A935" s="4" t="n">
        <v>43130</v>
      </c>
      <c r="B935" t="s">
        <v>109</v>
      </c>
      <c r="C935" t="s">
        <v>80</v>
      </c>
      <c r="D935" t="s">
        <v>22</v>
      </c>
      <c r="E935" t="s">
        <v>15</v>
      </c>
      <c r="F935" t="s">
        <v>16</v>
      </c>
      <c r="G935" t="s">
        <v>109</v>
      </c>
      <c r="H935">
        <f>HYPERLINK("https://www.jouwictvacature.nl/solliciteren?job=senior-net-developer-bij-bloemert", "Link")</f>
        <v/>
      </c>
      <c r="I935" t="s">
        <v>17</v>
      </c>
      <c r="J935" t="s">
        <v>18</v>
      </c>
      <c r="K935" t="s">
        <v>110</v>
      </c>
      <c r="L935" t="s">
        <v>613</v>
      </c>
    </row>
    <row hidden="1" r="936" s="1" spans="1:12">
      <c r="A936" s="4" t="n">
        <v>43130</v>
      </c>
      <c r="B936" t="s">
        <v>493</v>
      </c>
      <c r="C936" t="s">
        <v>72</v>
      </c>
      <c r="D936" t="s">
        <v>245</v>
      </c>
      <c r="E936" t="s">
        <v>15</v>
      </c>
      <c r="F936" t="s">
        <v>16</v>
      </c>
      <c r="G936" t="s">
        <v>1599</v>
      </c>
      <c r="H936">
        <f>HYPERLINK("https://www.jouwictvacature.nl/solliciteren?job=gedreven-backend-medior--senior-developer-2", "Link")</f>
        <v/>
      </c>
      <c r="I936" t="s">
        <v>17</v>
      </c>
      <c r="J936" t="s">
        <v>18</v>
      </c>
      <c r="K936" t="s">
        <v>495</v>
      </c>
      <c r="L936" t="s">
        <v>1600</v>
      </c>
    </row>
    <row hidden="1" r="937" s="1" spans="1:12">
      <c r="A937" s="4" t="n">
        <v>43130</v>
      </c>
      <c r="B937" t="s">
        <v>308</v>
      </c>
      <c r="C937" t="s">
        <v>309</v>
      </c>
      <c r="D937" t="s">
        <v>14</v>
      </c>
      <c r="E937" t="s">
        <v>15</v>
      </c>
      <c r="F937" t="s">
        <v>16</v>
      </c>
      <c r="G937" t="s">
        <v>310</v>
      </c>
      <c r="H937">
        <f>HYPERLINK("https://www.jouwictvacature.nl/solliciteren?job=c-net-ontwikkelaar--werken-voor-oa-the-voice-of-holland-de-slimste-men", "Link")</f>
        <v/>
      </c>
      <c r="I937" t="s">
        <v>17</v>
      </c>
      <c r="J937" t="s">
        <v>18</v>
      </c>
      <c r="K937" t="s">
        <v>311</v>
      </c>
      <c r="L937" t="s">
        <v>312</v>
      </c>
    </row>
    <row hidden="1" r="938" s="1" spans="1:12">
      <c r="A938" s="4" t="n">
        <v>43130</v>
      </c>
      <c r="B938" t="s">
        <v>37</v>
      </c>
      <c r="C938" t="s">
        <v>38</v>
      </c>
      <c r="D938" t="s">
        <v>22</v>
      </c>
      <c r="E938" t="s">
        <v>15</v>
      </c>
      <c r="F938" t="s">
        <v>28</v>
      </c>
      <c r="G938" t="s">
        <v>42</v>
      </c>
      <c r="H938">
        <f>HYPERLINK("https://www.jouwictvacature.nl/solliciteren?job=senior-web-developer-bij-advitrae", "Link")</f>
        <v/>
      </c>
      <c r="I938" t="s">
        <v>17</v>
      </c>
      <c r="J938" t="s">
        <v>18</v>
      </c>
      <c r="K938" t="s">
        <v>40</v>
      </c>
      <c r="L938" t="s">
        <v>43</v>
      </c>
    </row>
    <row hidden="1" r="939" s="1" spans="1:12">
      <c r="A939" s="4" t="n">
        <v>43130</v>
      </c>
      <c r="B939" t="s">
        <v>104</v>
      </c>
      <c r="C939" t="s">
        <v>93</v>
      </c>
      <c r="D939" t="s">
        <v>22</v>
      </c>
      <c r="E939" t="s">
        <v>15</v>
      </c>
      <c r="F939" t="s">
        <v>16</v>
      </c>
      <c r="G939" t="s">
        <v>104</v>
      </c>
      <c r="H939">
        <f>HYPERLINK("https://www.jouwictvacature.nl/solliciteren?job=microsoft-net-lead-developer-regio-rotterdam", "Link")</f>
        <v/>
      </c>
      <c r="I939" t="s">
        <v>17</v>
      </c>
      <c r="J939" t="s">
        <v>18</v>
      </c>
      <c r="K939" t="s">
        <v>1004</v>
      </c>
      <c r="L939" t="s">
        <v>1005</v>
      </c>
    </row>
    <row hidden="1" r="940" s="1" spans="1:12">
      <c r="A940" s="4" t="n">
        <v>43130</v>
      </c>
      <c r="B940" t="s">
        <v>293</v>
      </c>
      <c r="C940" t="s">
        <v>294</v>
      </c>
      <c r="D940" t="s">
        <v>14</v>
      </c>
      <c r="E940" t="s">
        <v>15</v>
      </c>
      <c r="F940" t="s">
        <v>52</v>
      </c>
      <c r="G940" t="s">
        <v>1246</v>
      </c>
      <c r="H940">
        <f>HYPERLINK("https://www.jouwictvacature.nl/solliciteren?job=medior-webdeveloper--fulltime-bij-koekenpeer", "Link")</f>
        <v/>
      </c>
      <c r="I940" t="s">
        <v>17</v>
      </c>
      <c r="J940" t="s">
        <v>18</v>
      </c>
      <c r="K940" t="s">
        <v>302</v>
      </c>
      <c r="L940" t="s">
        <v>1553</v>
      </c>
    </row>
    <row hidden="1" r="941" s="1" spans="1:12">
      <c r="A941" s="4" t="n">
        <v>43132</v>
      </c>
      <c r="B941" t="s">
        <v>493</v>
      </c>
      <c r="C941" t="s">
        <v>72</v>
      </c>
      <c r="D941" t="s">
        <v>245</v>
      </c>
      <c r="E941" t="s">
        <v>15</v>
      </c>
      <c r="F941" t="s">
        <v>16</v>
      </c>
      <c r="G941" t="s">
        <v>493</v>
      </c>
      <c r="H941">
        <f>HYPERLINK("https://www.jouwictvacature.nl/solliciteren?job=senior-web-developer-met-front-end-focus-bij-sumedia", "Link")</f>
        <v/>
      </c>
      <c r="I941" t="s">
        <v>17</v>
      </c>
      <c r="J941" t="s">
        <v>18</v>
      </c>
      <c r="K941" t="s">
        <v>1605</v>
      </c>
      <c r="L941" t="s">
        <v>1606</v>
      </c>
    </row>
    <row hidden="1" r="942" s="1" spans="1:12">
      <c r="A942" s="4" t="n">
        <v>43132</v>
      </c>
      <c r="B942" t="s">
        <v>493</v>
      </c>
      <c r="C942" t="s">
        <v>72</v>
      </c>
      <c r="D942" t="s">
        <v>245</v>
      </c>
      <c r="E942" t="s">
        <v>15</v>
      </c>
      <c r="F942" t="s">
        <v>52</v>
      </c>
      <c r="G942" t="s">
        <v>715</v>
      </c>
      <c r="H942">
        <f>HYPERLINK("https://www.jouwictvacature.nl/solliciteren?job=medior-full-stack-developer-bij-sumedia", "Link")</f>
        <v/>
      </c>
      <c r="I942" t="s">
        <v>17</v>
      </c>
      <c r="J942" t="s">
        <v>18</v>
      </c>
      <c r="K942" t="s">
        <v>495</v>
      </c>
      <c r="L942" t="s">
        <v>716</v>
      </c>
    </row>
    <row hidden="1" r="943" s="1" spans="1:12">
      <c r="A943" s="4" t="n">
        <v>43132</v>
      </c>
      <c r="B943" t="s">
        <v>493</v>
      </c>
      <c r="C943" t="s">
        <v>72</v>
      </c>
      <c r="D943" t="s">
        <v>245</v>
      </c>
      <c r="E943" t="s">
        <v>15</v>
      </c>
      <c r="F943" t="s">
        <v>28</v>
      </c>
      <c r="G943" t="s">
        <v>734</v>
      </c>
      <c r="H943">
        <f>HYPERLINK("https://www.jouwictvacature.nl/solliciteren?job=senior-full-stack-developer-bij-sumedia", "Link")</f>
        <v/>
      </c>
      <c r="I943" t="s">
        <v>17</v>
      </c>
      <c r="J943" t="s">
        <v>18</v>
      </c>
      <c r="K943" t="s">
        <v>495</v>
      </c>
      <c r="L943" t="s">
        <v>735</v>
      </c>
    </row>
    <row hidden="1" r="944" s="1" spans="1:12">
      <c r="A944" s="4" t="n">
        <v>43132</v>
      </c>
      <c r="B944" t="s">
        <v>493</v>
      </c>
      <c r="C944" t="s">
        <v>72</v>
      </c>
      <c r="D944" t="s">
        <v>245</v>
      </c>
      <c r="E944" t="s">
        <v>15</v>
      </c>
      <c r="F944" t="s">
        <v>28</v>
      </c>
      <c r="G944" t="s">
        <v>734</v>
      </c>
      <c r="H944">
        <f>HYPERLINK("https://www.jouwictvacature.nl/solliciteren?job=senior-full-stack-developer-bij-sumedia", "Link")</f>
        <v/>
      </c>
      <c r="I944" t="s">
        <v>17</v>
      </c>
      <c r="J944" t="s">
        <v>18</v>
      </c>
      <c r="K944" t="s">
        <v>495</v>
      </c>
      <c r="L944" t="s">
        <v>735</v>
      </c>
    </row>
    <row r="945" spans="1:12">
      <c r="A945" s="4" t="n">
        <v>43130</v>
      </c>
      <c r="B945" t="s">
        <v>1095</v>
      </c>
      <c r="C945" t="s">
        <v>76</v>
      </c>
      <c r="D945" t="s">
        <v>245</v>
      </c>
      <c r="E945" t="s">
        <v>51</v>
      </c>
      <c r="F945" t="s">
        <v>16</v>
      </c>
      <c r="G945" t="s">
        <v>1095</v>
      </c>
      <c r="H945">
        <f>HYPERLINK("https://www.jouwictvacature.nl/solliciteren?job=medior-back-end-developer-superbuddy-mean-stack-2", "Link")</f>
        <v/>
      </c>
      <c r="I945" t="s">
        <v>17</v>
      </c>
      <c r="J945" t="s">
        <v>18</v>
      </c>
      <c r="K945" t="s">
        <v>1096</v>
      </c>
      <c r="L945" t="s">
        <v>1097</v>
      </c>
    </row>
    <row hidden="1" r="946" s="1" spans="1:12">
      <c r="A946" s="4" t="n">
        <v>43130</v>
      </c>
      <c r="B946" t="s">
        <v>278</v>
      </c>
      <c r="C946" t="s">
        <v>279</v>
      </c>
      <c r="D946" t="s">
        <v>14</v>
      </c>
      <c r="E946" t="s">
        <v>15</v>
      </c>
      <c r="F946" t="s">
        <v>16</v>
      </c>
      <c r="G946" t="s">
        <v>650</v>
      </c>
      <c r="H946">
        <f>HYPERLINK("https://www.jouwictvacature.nl/solliciteren?job=php--magento-developer-bij-topwerkgever", "Link")</f>
        <v/>
      </c>
      <c r="I946" t="s">
        <v>17</v>
      </c>
      <c r="J946" t="s">
        <v>18</v>
      </c>
      <c r="K946" t="s">
        <v>651</v>
      </c>
      <c r="L946" t="s">
        <v>652</v>
      </c>
    </row>
    <row hidden="1" r="947" s="1" spans="1:12">
      <c r="A947" s="4" t="n">
        <v>43130</v>
      </c>
      <c r="B947" t="s">
        <v>26</v>
      </c>
      <c r="C947" t="s">
        <v>27</v>
      </c>
      <c r="D947" t="s">
        <v>22</v>
      </c>
      <c r="E947" t="s">
        <v>15</v>
      </c>
      <c r="F947" t="s">
        <v>52</v>
      </c>
      <c r="G947" t="s">
        <v>1524</v>
      </c>
      <c r="H947">
        <f>HYPERLINK("https://www.jouwictvacature.nl/solliciteren?job=medior-php-back-end-developer-bij-aan-zee-communicatie", "Link")</f>
        <v/>
      </c>
      <c r="I947" t="s">
        <v>17</v>
      </c>
      <c r="J947" t="s">
        <v>18</v>
      </c>
      <c r="K947" t="s">
        <v>30</v>
      </c>
      <c r="L947" t="s">
        <v>1525</v>
      </c>
    </row>
    <row hidden="1" r="948" s="1" spans="1:12">
      <c r="A948" s="4" t="n">
        <v>43130</v>
      </c>
      <c r="B948" t="s">
        <v>719</v>
      </c>
      <c r="C948" t="s">
        <v>93</v>
      </c>
      <c r="D948" t="s">
        <v>22</v>
      </c>
      <c r="E948" t="s">
        <v>15</v>
      </c>
      <c r="F948" t="s">
        <v>52</v>
      </c>
      <c r="G948" t="s">
        <v>1390</v>
      </c>
      <c r="H948">
        <f>HYPERLINK("https://www.jouwictvacature.nl/solliciteren?job=medior-back-end-developer-bij-23g", "Link")</f>
        <v/>
      </c>
      <c r="I948" t="s">
        <v>17</v>
      </c>
      <c r="J948" t="s">
        <v>18</v>
      </c>
      <c r="K948" t="s">
        <v>721</v>
      </c>
      <c r="L948" t="s">
        <v>1391</v>
      </c>
    </row>
    <row hidden="1" r="949" s="1" spans="1:12">
      <c r="A949" s="4" t="n">
        <v>43130</v>
      </c>
      <c r="B949" t="s">
        <v>497</v>
      </c>
      <c r="C949" t="s">
        <v>498</v>
      </c>
      <c r="D949" t="s">
        <v>245</v>
      </c>
      <c r="E949" t="s">
        <v>15</v>
      </c>
      <c r="F949" t="s">
        <v>52</v>
      </c>
      <c r="G949" t="s">
        <v>499</v>
      </c>
      <c r="H949">
        <f>HYPERLINK("https://www.jouwictvacature.nl/solliciteren?job=medior-full-stack-ontwikkelaar-bij-sysunite-bv", "Link")</f>
        <v/>
      </c>
      <c r="I949" t="s">
        <v>17</v>
      </c>
      <c r="J949" t="s">
        <v>18</v>
      </c>
      <c r="K949" t="s">
        <v>500</v>
      </c>
      <c r="L949" t="s">
        <v>501</v>
      </c>
    </row>
    <row hidden="1" r="950" s="1" spans="1:12">
      <c r="A950" s="4" t="n">
        <v>43130</v>
      </c>
      <c r="B950" t="s">
        <v>304</v>
      </c>
      <c r="C950" t="s">
        <v>305</v>
      </c>
      <c r="D950" t="s">
        <v>14</v>
      </c>
      <c r="E950" t="s">
        <v>15</v>
      </c>
      <c r="F950" t="s">
        <v>16</v>
      </c>
      <c r="G950" t="s">
        <v>304</v>
      </c>
      <c r="H950">
        <f>HYPERLINK("https://www.jouwictvacature.nl/solliciteren?job=nodereact-developer-bij-ksyos", "Link")</f>
        <v/>
      </c>
      <c r="I950" t="s">
        <v>17</v>
      </c>
      <c r="J950" t="s">
        <v>18</v>
      </c>
      <c r="K950" t="s">
        <v>306</v>
      </c>
      <c r="L950" t="s">
        <v>1306</v>
      </c>
    </row>
    <row r="951" spans="1:12">
      <c r="A951" s="4" t="n">
        <v>43130</v>
      </c>
      <c r="B951" t="s">
        <v>1413</v>
      </c>
      <c r="C951" t="s">
        <v>137</v>
      </c>
      <c r="D951" t="s">
        <v>22</v>
      </c>
      <c r="E951" t="s">
        <v>51</v>
      </c>
      <c r="F951" t="s">
        <v>16</v>
      </c>
      <c r="G951" t="s">
        <v>1413</v>
      </c>
      <c r="H951">
        <f>HYPERLINK("https://www.jouwictvacature.nl/solliciteren?job=senior-ai-specialist", "Link")</f>
        <v/>
      </c>
      <c r="I951" t="s">
        <v>17</v>
      </c>
      <c r="J951" t="s">
        <v>18</v>
      </c>
      <c r="K951" t="s">
        <v>1414</v>
      </c>
      <c r="L951" t="s">
        <v>1415</v>
      </c>
    </row>
    <row hidden="1" r="952" s="1" spans="1:12">
      <c r="A952" s="4" t="n">
        <v>43130</v>
      </c>
      <c r="B952" t="s">
        <v>497</v>
      </c>
      <c r="C952" t="s">
        <v>498</v>
      </c>
      <c r="D952" t="s">
        <v>245</v>
      </c>
      <c r="E952" t="s">
        <v>15</v>
      </c>
      <c r="F952" t="s">
        <v>28</v>
      </c>
      <c r="G952" t="s">
        <v>1622</v>
      </c>
      <c r="H952">
        <f>HYPERLINK("https://www.jouwictvacature.nl/solliciteren?job=senior-full-stack-ontwikkelaar-bij-sysunite-bv", "Link")</f>
        <v/>
      </c>
      <c r="I952" t="s">
        <v>17</v>
      </c>
      <c r="J952" t="s">
        <v>18</v>
      </c>
      <c r="K952" t="s">
        <v>500</v>
      </c>
      <c r="L952" t="s">
        <v>1623</v>
      </c>
    </row>
    <row hidden="1" r="953" s="1" spans="1:12">
      <c r="A953" s="4" t="n">
        <v>43130</v>
      </c>
      <c r="B953" t="s">
        <v>497</v>
      </c>
      <c r="C953" t="s">
        <v>498</v>
      </c>
      <c r="D953" t="s">
        <v>245</v>
      </c>
      <c r="E953" t="s">
        <v>15</v>
      </c>
      <c r="F953" t="s">
        <v>34</v>
      </c>
      <c r="G953" t="s">
        <v>502</v>
      </c>
      <c r="H953">
        <f>HYPERLINK("https://www.jouwictvacature.nl/solliciteren?job=junior-full-stack-ontwikkelaar-bij-sysunite-bv", "Link")</f>
        <v/>
      </c>
      <c r="I953" t="s">
        <v>17</v>
      </c>
      <c r="J953" t="s">
        <v>18</v>
      </c>
      <c r="K953" t="s">
        <v>500</v>
      </c>
      <c r="L953" t="s">
        <v>503</v>
      </c>
    </row>
    <row hidden="1" r="954" s="1" spans="1:12">
      <c r="A954" s="4" t="n">
        <v>43130</v>
      </c>
      <c r="B954" t="s">
        <v>1104</v>
      </c>
      <c r="C954" t="s">
        <v>1105</v>
      </c>
      <c r="D954" t="s">
        <v>22</v>
      </c>
      <c r="E954" t="s">
        <v>15</v>
      </c>
      <c r="F954" t="s">
        <v>16</v>
      </c>
      <c r="G954" t="s">
        <v>1624</v>
      </c>
      <c r="H954">
        <f>HYPERLINK("https://www.jouwictvacature.nl/solliciteren?job=enthousiaste-front-end-developer-", "Link")</f>
        <v/>
      </c>
      <c r="I954" t="s">
        <v>17</v>
      </c>
      <c r="J954" t="s">
        <v>18</v>
      </c>
      <c r="K954" t="s">
        <v>1107</v>
      </c>
      <c r="L954" t="s">
        <v>1625</v>
      </c>
    </row>
    <row hidden="1" r="955" s="1" spans="1:12">
      <c r="A955" s="4" t="n">
        <v>43130</v>
      </c>
      <c r="B955" t="s">
        <v>1099</v>
      </c>
      <c r="C955" t="s">
        <v>1100</v>
      </c>
      <c r="D955" t="s">
        <v>22</v>
      </c>
      <c r="E955" t="s">
        <v>15</v>
      </c>
      <c r="F955" t="s">
        <v>34</v>
      </c>
      <c r="G955" t="s">
        <v>1101</v>
      </c>
      <c r="H955">
        <f>HYPERLINK("https://www.jouwictvacature.nl/solliciteren?job=junior-fullstack-developer-met-focus-op-front-end-bij-funatic", "Link")</f>
        <v/>
      </c>
      <c r="I955" t="s">
        <v>17</v>
      </c>
      <c r="J955" t="s">
        <v>18</v>
      </c>
      <c r="K955" t="s">
        <v>1102</v>
      </c>
      <c r="L955" t="s">
        <v>1103</v>
      </c>
    </row>
    <row hidden="1" r="956" s="1" spans="1:12">
      <c r="A956" s="4" t="n">
        <v>43130</v>
      </c>
      <c r="B956" t="s">
        <v>37</v>
      </c>
      <c r="C956" t="s">
        <v>38</v>
      </c>
      <c r="D956" t="s">
        <v>22</v>
      </c>
      <c r="E956" t="s">
        <v>15</v>
      </c>
      <c r="F956" t="s">
        <v>28</v>
      </c>
      <c r="G956" t="s">
        <v>996</v>
      </c>
      <c r="H956">
        <f>HYPERLINK("https://www.jouwictvacature.nl/solliciteren?job=senior-javascript-developer-bij-advitrae", "Link")</f>
        <v/>
      </c>
      <c r="I956" t="s">
        <v>17</v>
      </c>
      <c r="J956" t="s">
        <v>18</v>
      </c>
      <c r="K956" t="s">
        <v>40</v>
      </c>
      <c r="L956" t="s">
        <v>997</v>
      </c>
    </row>
    <row hidden="1" r="957" s="1" spans="1:12">
      <c r="A957" s="4" t="n">
        <v>43130</v>
      </c>
      <c r="B957" t="s">
        <v>123</v>
      </c>
      <c r="C957" t="s">
        <v>124</v>
      </c>
      <c r="D957" t="s">
        <v>22</v>
      </c>
      <c r="E957" t="s">
        <v>15</v>
      </c>
      <c r="F957" t="s">
        <v>34</v>
      </c>
      <c r="G957" t="s">
        <v>1626</v>
      </c>
      <c r="H957">
        <f>HYPERLINK("https://www.jouwictvacature.nl/solliciteren?job=junior-front-end-developer-bij-bratpack", "Link")</f>
        <v/>
      </c>
      <c r="I957" t="s">
        <v>17</v>
      </c>
      <c r="J957" t="s">
        <v>18</v>
      </c>
      <c r="K957" t="s">
        <v>125</v>
      </c>
      <c r="L957" t="s">
        <v>1627</v>
      </c>
    </row>
    <row hidden="1" r="958" s="1" spans="1:12">
      <c r="A958" s="4" t="n">
        <v>43130</v>
      </c>
      <c r="B958" t="s">
        <v>317</v>
      </c>
      <c r="C958" t="s">
        <v>45</v>
      </c>
      <c r="D958" t="s">
        <v>14</v>
      </c>
      <c r="E958" t="s">
        <v>15</v>
      </c>
      <c r="F958" t="s">
        <v>28</v>
      </c>
      <c r="G958" t="s">
        <v>39</v>
      </c>
      <c r="H958">
        <f>HYPERLINK("https://www.jouwictvacature.nl/solliciteren?job=senior-front-end-developer-bij-maximumnl", "Link")</f>
        <v/>
      </c>
      <c r="I958" t="s">
        <v>17</v>
      </c>
      <c r="J958" t="s">
        <v>18</v>
      </c>
      <c r="K958" t="s">
        <v>319</v>
      </c>
      <c r="L958" t="s">
        <v>1628</v>
      </c>
    </row>
    <row hidden="1" r="959" s="1" spans="1:12">
      <c r="A959" s="4" t="n">
        <v>43130</v>
      </c>
      <c r="B959" t="s">
        <v>136</v>
      </c>
      <c r="C959" t="s">
        <v>137</v>
      </c>
      <c r="D959" t="s">
        <v>22</v>
      </c>
      <c r="E959" t="s">
        <v>15</v>
      </c>
      <c r="F959" t="s">
        <v>16</v>
      </c>
      <c r="G959" t="s">
        <v>138</v>
      </c>
      <c r="H959">
        <f>HYPERLINK("https://www.jouwictvacature.nl/solliciteren?job=medior-software-engineer-bij-cgi", "Link")</f>
        <v/>
      </c>
      <c r="I959" t="s">
        <v>17</v>
      </c>
      <c r="J959" t="s">
        <v>18</v>
      </c>
      <c r="K959" t="s">
        <v>139</v>
      </c>
      <c r="L959" t="s">
        <v>1629</v>
      </c>
    </row>
    <row hidden="1" r="960" s="1" spans="1:12">
      <c r="A960" s="4" t="n">
        <v>43130</v>
      </c>
      <c r="B960" t="s">
        <v>115</v>
      </c>
      <c r="C960" t="s">
        <v>116</v>
      </c>
      <c r="D960" t="s">
        <v>22</v>
      </c>
      <c r="E960" t="s">
        <v>15</v>
      </c>
      <c r="F960" t="s">
        <v>16</v>
      </c>
      <c r="G960" t="s">
        <v>117</v>
      </c>
      <c r="H960">
        <f>HYPERLINK("https://www.jouwictvacature.nl/solliciteren?job=support-medewerker-bij-bottomline-in-vught-bij-bottomline", "Link")</f>
        <v/>
      </c>
      <c r="I960" t="s">
        <v>17</v>
      </c>
      <c r="J960" t="s">
        <v>18</v>
      </c>
      <c r="K960" t="s">
        <v>118</v>
      </c>
      <c r="L960" t="s">
        <v>119</v>
      </c>
    </row>
    <row hidden="1" r="961" s="1" spans="1:12">
      <c r="A961" s="4" t="n">
        <v>43130</v>
      </c>
      <c r="B961" t="s">
        <v>71</v>
      </c>
      <c r="C961" t="s">
        <v>62</v>
      </c>
      <c r="D961" t="s">
        <v>22</v>
      </c>
      <c r="E961" t="s">
        <v>15</v>
      </c>
      <c r="F961" t="s">
        <v>28</v>
      </c>
      <c r="G961" t="s">
        <v>88</v>
      </c>
      <c r="H961">
        <f>HYPERLINK("https://www.jouwictvacature.nl/solliciteren?job=senior-feedback-engineer-bij-bartosz-bij-bartosz-utrecht", "Link")</f>
        <v/>
      </c>
      <c r="I961" t="s">
        <v>17</v>
      </c>
      <c r="J961" t="s">
        <v>18</v>
      </c>
      <c r="K961" t="s">
        <v>78</v>
      </c>
      <c r="L961" t="s">
        <v>89</v>
      </c>
    </row>
    <row hidden="1" r="962" s="1" spans="1:12">
      <c r="A962" s="4" t="n">
        <v>43130</v>
      </c>
      <c r="B962" t="s">
        <v>378</v>
      </c>
      <c r="C962" t="s">
        <v>309</v>
      </c>
      <c r="D962" t="s">
        <v>14</v>
      </c>
      <c r="E962" t="s">
        <v>15</v>
      </c>
      <c r="F962" t="s">
        <v>16</v>
      </c>
      <c r="G962" t="s">
        <v>1630</v>
      </c>
      <c r="H962">
        <f>HYPERLINK("https://www.jouwictvacature.nl/solliciteren?job=stageopdracht-opentaken-bij-opensatisfaction-te-amersfoort", "Link")</f>
        <v/>
      </c>
      <c r="I962" t="s">
        <v>17</v>
      </c>
      <c r="J962" t="s">
        <v>18</v>
      </c>
      <c r="K962" t="s">
        <v>759</v>
      </c>
      <c r="L962" t="s">
        <v>1631</v>
      </c>
    </row>
    <row hidden="1" r="963" s="1" spans="1:12">
      <c r="A963" s="4" t="n">
        <v>43130</v>
      </c>
      <c r="B963" t="s">
        <v>1377</v>
      </c>
      <c r="C963" t="s">
        <v>1378</v>
      </c>
      <c r="D963" t="s">
        <v>22</v>
      </c>
      <c r="E963" t="s">
        <v>15</v>
      </c>
      <c r="F963" t="s">
        <v>16</v>
      </c>
      <c r="G963" t="s">
        <v>1632</v>
      </c>
      <c r="H963">
        <f>HYPERLINK("https://www.jouwictvacature.nl/solliciteren?job=java-developer-bij-gappless-te-halfweg", "Link")</f>
        <v/>
      </c>
      <c r="I963" t="s">
        <v>17</v>
      </c>
      <c r="J963" t="s">
        <v>18</v>
      </c>
      <c r="K963" t="s">
        <v>1380</v>
      </c>
      <c r="L963" t="s">
        <v>1633</v>
      </c>
    </row>
    <row hidden="1" r="964" s="1" spans="1:12">
      <c r="A964" s="4" t="n">
        <v>43130</v>
      </c>
      <c r="B964" t="s">
        <v>71</v>
      </c>
      <c r="C964" t="s">
        <v>80</v>
      </c>
      <c r="D964" t="s">
        <v>22</v>
      </c>
      <c r="E964" t="s">
        <v>15</v>
      </c>
      <c r="F964" t="s">
        <v>52</v>
      </c>
      <c r="G964" t="s">
        <v>1634</v>
      </c>
      <c r="H964">
        <f>HYPERLINK("https://www.jouwictvacature.nl/solliciteren?job=medior-feedback-engineer-bij-bartosz-bij-bartosz-amsterdam", "Link")</f>
        <v/>
      </c>
      <c r="I964" t="s">
        <v>17</v>
      </c>
      <c r="J964" t="s">
        <v>18</v>
      </c>
      <c r="K964" t="s">
        <v>78</v>
      </c>
      <c r="L964" t="s">
        <v>1635</v>
      </c>
    </row>
    <row hidden="1" r="965" s="1" spans="1:12">
      <c r="A965" s="4" t="n">
        <v>43130</v>
      </c>
      <c r="B965" t="s">
        <v>497</v>
      </c>
      <c r="C965" t="s">
        <v>498</v>
      </c>
      <c r="D965" t="s">
        <v>245</v>
      </c>
      <c r="E965" t="s">
        <v>15</v>
      </c>
      <c r="F965" t="s">
        <v>34</v>
      </c>
      <c r="G965" t="s">
        <v>506</v>
      </c>
      <c r="H965">
        <f>HYPERLINK("https://www.jouwictvacature.nl/solliciteren?job=junior-software-developer-front-endback-end-bij-sysunite-bv", "Link")</f>
        <v/>
      </c>
      <c r="I965" t="s">
        <v>17</v>
      </c>
      <c r="J965" t="s">
        <v>18</v>
      </c>
      <c r="K965" t="s">
        <v>500</v>
      </c>
      <c r="L965" t="s">
        <v>507</v>
      </c>
    </row>
    <row hidden="1" r="966" s="1" spans="1:12">
      <c r="A966" s="4" t="n">
        <v>43130</v>
      </c>
      <c r="B966" t="s">
        <v>972</v>
      </c>
      <c r="C966" t="s">
        <v>973</v>
      </c>
      <c r="D966" t="s">
        <v>14</v>
      </c>
      <c r="E966" t="s">
        <v>15</v>
      </c>
      <c r="F966" t="s">
        <v>16</v>
      </c>
      <c r="G966" t="s">
        <v>972</v>
      </c>
      <c r="H966">
        <f>HYPERLINK("https://www.jouwictvacature.nl/solliciteren?job=software-engineer-5", "Link")</f>
        <v/>
      </c>
      <c r="I966" t="s">
        <v>17</v>
      </c>
      <c r="J966" t="s">
        <v>18</v>
      </c>
      <c r="K966" t="s">
        <v>974</v>
      </c>
      <c r="L966" t="s">
        <v>975</v>
      </c>
    </row>
    <row hidden="1" r="967" s="1" spans="1:12">
      <c r="A967" s="4" t="n">
        <v>43132</v>
      </c>
      <c r="B967" t="s">
        <v>497</v>
      </c>
      <c r="C967" t="s">
        <v>498</v>
      </c>
      <c r="D967" t="s">
        <v>245</v>
      </c>
      <c r="E967" t="s">
        <v>15</v>
      </c>
      <c r="F967" t="s">
        <v>52</v>
      </c>
      <c r="G967" t="s">
        <v>655</v>
      </c>
      <c r="H967">
        <f>HYPERLINK("https://www.jouwictvacature.nl/solliciteren?job=medior-software-developer-bij-sysunite-bv", "Link")</f>
        <v/>
      </c>
      <c r="I967" t="s">
        <v>17</v>
      </c>
      <c r="J967" t="s">
        <v>18</v>
      </c>
      <c r="K967" t="s">
        <v>500</v>
      </c>
      <c r="L967" t="s">
        <v>656</v>
      </c>
    </row>
    <row hidden="1" r="968" s="1" spans="1:12">
      <c r="A968" s="4" t="n">
        <v>43130</v>
      </c>
      <c r="B968" t="s">
        <v>174</v>
      </c>
      <c r="C968" t="s">
        <v>62</v>
      </c>
      <c r="D968" t="s">
        <v>22</v>
      </c>
      <c r="E968" t="s">
        <v>15</v>
      </c>
      <c r="F968" t="s">
        <v>52</v>
      </c>
      <c r="G968" t="s">
        <v>175</v>
      </c>
      <c r="H968">
        <f>HYPERLINK("https://www.jouwictvacature.nl/solliciteren?job=medior-java-full-stack-developer-bij-dpa-geos", "Link")</f>
        <v/>
      </c>
      <c r="I968" t="s">
        <v>17</v>
      </c>
      <c r="J968" t="s">
        <v>18</v>
      </c>
      <c r="K968" t="s">
        <v>176</v>
      </c>
      <c r="L968" t="s">
        <v>177</v>
      </c>
    </row>
    <row hidden="1" r="969" s="1" spans="1:12">
      <c r="A969" s="4" t="n">
        <v>43130</v>
      </c>
      <c r="B969" t="s">
        <v>1399</v>
      </c>
      <c r="C969" t="s">
        <v>309</v>
      </c>
      <c r="D969" t="s">
        <v>22</v>
      </c>
      <c r="E969" t="s">
        <v>15</v>
      </c>
      <c r="F969" t="s">
        <v>52</v>
      </c>
      <c r="G969" t="s">
        <v>1636</v>
      </c>
      <c r="H969">
        <f>HYPERLINK("https://www.jouwictvacature.nl/solliciteren?job=medior-java-ontwikkelaar-bij-msg-life-benelux-bij-msg-life-benelux", "Link")</f>
        <v/>
      </c>
      <c r="I969" t="s">
        <v>17</v>
      </c>
      <c r="J969" t="s">
        <v>18</v>
      </c>
      <c r="K969" t="s">
        <v>1637</v>
      </c>
      <c r="L969" t="s">
        <v>1638</v>
      </c>
    </row>
    <row hidden="1" r="970" s="1" spans="1:12">
      <c r="A970" s="4" t="n">
        <v>43130</v>
      </c>
      <c r="B970" t="s">
        <v>251</v>
      </c>
      <c r="C970" t="s">
        <v>80</v>
      </c>
      <c r="D970" t="s">
        <v>14</v>
      </c>
      <c r="E970" t="s">
        <v>15</v>
      </c>
      <c r="F970" t="s">
        <v>16</v>
      </c>
      <c r="G970" t="s">
        <v>1639</v>
      </c>
      <c r="H970">
        <f>HYPERLINK("https://www.jouwictvacature.nl/solliciteren?job=net-architect-bij-icatt--studiebudget-en-mogelijkheid-voor-parttime", "Link")</f>
        <v/>
      </c>
      <c r="I970" t="s">
        <v>17</v>
      </c>
      <c r="J970" t="s">
        <v>18</v>
      </c>
      <c r="K970" t="s">
        <v>253</v>
      </c>
      <c r="L970" t="s">
        <v>1640</v>
      </c>
    </row>
    <row hidden="1" r="971" s="1" spans="1:12">
      <c r="A971" s="4" t="n">
        <v>43129</v>
      </c>
      <c r="B971" t="s">
        <v>813</v>
      </c>
      <c r="C971" t="s">
        <v>309</v>
      </c>
      <c r="D971" t="s">
        <v>245</v>
      </c>
      <c r="E971" t="s">
        <v>15</v>
      </c>
      <c r="F971" t="s">
        <v>28</v>
      </c>
      <c r="G971" t="s">
        <v>814</v>
      </c>
      <c r="H971">
        <f>HYPERLINK("https://www.jouwictvacature.nl/solliciteren?job=senior-full-stack-ontwikkelaar-bij-telserv-bij-telserv", "Link")</f>
        <v/>
      </c>
      <c r="I971" t="s">
        <v>17</v>
      </c>
      <c r="J971" t="s">
        <v>18</v>
      </c>
      <c r="K971" t="s">
        <v>815</v>
      </c>
      <c r="L971" t="s">
        <v>816</v>
      </c>
    </row>
    <row hidden="1" r="972" s="1" spans="1:12">
      <c r="A972" s="4" t="n">
        <v>43130</v>
      </c>
      <c r="B972" t="s">
        <v>813</v>
      </c>
      <c r="C972" t="s">
        <v>309</v>
      </c>
      <c r="D972" t="s">
        <v>245</v>
      </c>
      <c r="E972" t="s">
        <v>15</v>
      </c>
      <c r="F972" t="s">
        <v>52</v>
      </c>
      <c r="G972" t="s">
        <v>1085</v>
      </c>
      <c r="H972">
        <f>HYPERLINK("https://www.jouwictvacature.nl/solliciteren?job=full-stack-developer-bij-telserv--2", "Link")</f>
        <v/>
      </c>
      <c r="I972" t="s">
        <v>17</v>
      </c>
      <c r="J972" t="s">
        <v>18</v>
      </c>
      <c r="K972" t="s">
        <v>815</v>
      </c>
      <c r="L972" t="s">
        <v>1086</v>
      </c>
    </row>
    <row hidden="1" r="973" s="1" spans="1:12">
      <c r="A973" s="4" t="n">
        <v>43130</v>
      </c>
      <c r="B973" t="s">
        <v>313</v>
      </c>
      <c r="C973" t="s">
        <v>62</v>
      </c>
      <c r="D973" t="s">
        <v>14</v>
      </c>
      <c r="E973" t="s">
        <v>15</v>
      </c>
      <c r="F973" t="s">
        <v>16</v>
      </c>
      <c r="G973" t="s">
        <v>1579</v>
      </c>
      <c r="H973">
        <f>HYPERLINK("https://www.jouwictvacature.nl/solliciteren?job=development-net-bijbaan-voor-ambitieuze-studenten-hbowo-in-utrecht", "Link")</f>
        <v/>
      </c>
      <c r="I973" t="s">
        <v>17</v>
      </c>
      <c r="J973" t="s">
        <v>18</v>
      </c>
      <c r="K973" t="s">
        <v>1580</v>
      </c>
      <c r="L973" t="s">
        <v>1581</v>
      </c>
    </row>
    <row hidden="1" r="974" s="1" spans="1:12">
      <c r="A974" s="4" t="n">
        <v>43129</v>
      </c>
      <c r="B974" t="s">
        <v>508</v>
      </c>
      <c r="C974" t="s">
        <v>509</v>
      </c>
      <c r="D974" t="s">
        <v>245</v>
      </c>
      <c r="E974" t="s">
        <v>15</v>
      </c>
      <c r="F974" t="s">
        <v>52</v>
      </c>
      <c r="G974" t="s">
        <v>1641</v>
      </c>
      <c r="H974">
        <f>HYPERLINK("https://www.jouwictvacature.nl/solliciteren?job=medior-software-developer--delphi-c-c-java-firebird-sql-interbase-", "Link")</f>
        <v/>
      </c>
      <c r="I974" t="s">
        <v>17</v>
      </c>
      <c r="J974" t="s">
        <v>18</v>
      </c>
      <c r="K974" t="s">
        <v>1642</v>
      </c>
      <c r="L974" t="s">
        <v>1643</v>
      </c>
    </row>
    <row hidden="1" r="975" s="1" spans="1:12">
      <c r="A975" s="4" t="n">
        <v>43130</v>
      </c>
      <c r="B975" t="s">
        <v>405</v>
      </c>
      <c r="C975" t="s">
        <v>412</v>
      </c>
      <c r="D975" t="s">
        <v>14</v>
      </c>
      <c r="E975" t="s">
        <v>15</v>
      </c>
      <c r="F975" t="s">
        <v>16</v>
      </c>
      <c r="G975" t="s">
        <v>405</v>
      </c>
      <c r="H975">
        <f>HYPERLINK("https://www.jouwictvacature.nl/solliciteren?job=medior-microsoft-dynamics-ax-developer-bij-prodware-2", "Link")</f>
        <v/>
      </c>
      <c r="I975" t="s">
        <v>17</v>
      </c>
      <c r="J975" t="s">
        <v>18</v>
      </c>
      <c r="K975" t="s">
        <v>415</v>
      </c>
      <c r="L975" t="s">
        <v>416</v>
      </c>
    </row>
    <row hidden="1" r="976" s="1" spans="1:12">
      <c r="A976" s="4" t="n">
        <v>43130</v>
      </c>
      <c r="B976" t="s">
        <v>618</v>
      </c>
      <c r="C976" t="s">
        <v>619</v>
      </c>
      <c r="D976" t="s">
        <v>22</v>
      </c>
      <c r="E976" t="s">
        <v>15</v>
      </c>
      <c r="F976" t="s">
        <v>16</v>
      </c>
      <c r="G976" t="s">
        <v>1644</v>
      </c>
      <c r="H976">
        <f>HYPERLINK("https://www.jouwictvacature.nl/solliciteren?job=junior-developer-net-applicaties-voor-mooie-klanten-als-de-efteling--n", "Link")</f>
        <v/>
      </c>
      <c r="I976" t="s">
        <v>17</v>
      </c>
      <c r="J976" t="s">
        <v>18</v>
      </c>
      <c r="K976" t="s">
        <v>621</v>
      </c>
      <c r="L976" t="s">
        <v>1645</v>
      </c>
    </row>
    <row hidden="1" r="977" s="1" spans="1:12">
      <c r="A977" s="4" t="n">
        <v>43130</v>
      </c>
      <c r="B977" t="s">
        <v>693</v>
      </c>
      <c r="C977" t="s">
        <v>694</v>
      </c>
      <c r="D977" t="s">
        <v>22</v>
      </c>
      <c r="E977" t="s">
        <v>15</v>
      </c>
      <c r="F977" t="s">
        <v>16</v>
      </c>
      <c r="G977" t="s">
        <v>693</v>
      </c>
      <c r="H977">
        <f>HYPERLINK("https://www.jouwictvacature.nl/solliciteren?job=mendix-developer", "Link")</f>
        <v/>
      </c>
      <c r="I977" t="s">
        <v>17</v>
      </c>
      <c r="J977" t="s">
        <v>18</v>
      </c>
      <c r="K977" t="s">
        <v>994</v>
      </c>
      <c r="L977" t="s">
        <v>995</v>
      </c>
    </row>
    <row r="978" spans="1:12">
      <c r="A978" s="4" t="n">
        <v>43130</v>
      </c>
      <c r="B978" t="s">
        <v>49</v>
      </c>
      <c r="C978" t="s">
        <v>50</v>
      </c>
      <c r="D978" t="s">
        <v>22</v>
      </c>
      <c r="E978" t="s">
        <v>51</v>
      </c>
      <c r="F978" t="s">
        <v>52</v>
      </c>
      <c r="G978" t="s">
        <v>53</v>
      </c>
      <c r="H978">
        <f>HYPERLINK("https://www.jouwictvacature.nl/solliciteren?job=medior-front-end-angular2-developer-bij-asamco-bv", "Link")</f>
        <v/>
      </c>
      <c r="I978" t="s">
        <v>17</v>
      </c>
      <c r="J978" t="s">
        <v>18</v>
      </c>
      <c r="K978" t="s">
        <v>54</v>
      </c>
      <c r="L978" t="s">
        <v>55</v>
      </c>
    </row>
    <row hidden="1" r="979" s="1" spans="1:12">
      <c r="A979" s="4" t="n">
        <v>43130</v>
      </c>
      <c r="B979" t="s">
        <v>142</v>
      </c>
      <c r="C979" t="s">
        <v>143</v>
      </c>
      <c r="D979" t="s">
        <v>22</v>
      </c>
      <c r="E979" t="s">
        <v>15</v>
      </c>
      <c r="F979" t="s">
        <v>52</v>
      </c>
      <c r="G979" t="s">
        <v>147</v>
      </c>
      <c r="H979">
        <f>HYPERLINK("https://www.jouwictvacature.nl/solliciteren?job=medior-allround-developer-bij-coas", "Link")</f>
        <v/>
      </c>
      <c r="I979" t="s">
        <v>17</v>
      </c>
      <c r="J979" t="s">
        <v>18</v>
      </c>
      <c r="K979" t="s">
        <v>145</v>
      </c>
      <c r="L979" t="s">
        <v>148</v>
      </c>
    </row>
    <row hidden="1" r="980" s="1" spans="1:12">
      <c r="A980" s="4" t="n">
        <v>43130</v>
      </c>
      <c r="B980" t="s">
        <v>358</v>
      </c>
      <c r="C980" t="s">
        <v>359</v>
      </c>
      <c r="D980" t="s">
        <v>14</v>
      </c>
      <c r="E980" t="s">
        <v>15</v>
      </c>
      <c r="F980" t="s">
        <v>52</v>
      </c>
      <c r="G980" t="s">
        <v>360</v>
      </c>
      <c r="H980">
        <f>HYPERLINK("https://www.jouwictvacature.nl/solliciteren?job=medior-webdeveloper-bij-nobears", "Link")</f>
        <v/>
      </c>
      <c r="I980" t="s">
        <v>17</v>
      </c>
      <c r="J980" t="s">
        <v>18</v>
      </c>
      <c r="K980" t="s">
        <v>361</v>
      </c>
      <c r="L980" t="s">
        <v>362</v>
      </c>
    </row>
    <row hidden="1" r="981" s="1" spans="1:12">
      <c r="A981" s="4" t="n">
        <v>43130</v>
      </c>
      <c r="B981" t="s">
        <v>885</v>
      </c>
      <c r="C981" t="s">
        <v>76</v>
      </c>
      <c r="D981" t="s">
        <v>14</v>
      </c>
      <c r="E981" t="s">
        <v>15</v>
      </c>
      <c r="F981" t="s">
        <v>16</v>
      </c>
      <c r="G981" t="s">
        <v>1646</v>
      </c>
      <c r="H981">
        <f>HYPERLINK("https://www.jouwictvacature.nl/solliciteren?job=gedreven-medior-backend-developer", "Link")</f>
        <v/>
      </c>
      <c r="I981" t="s">
        <v>17</v>
      </c>
      <c r="J981" t="s">
        <v>18</v>
      </c>
      <c r="K981" t="s">
        <v>887</v>
      </c>
      <c r="L981" t="s">
        <v>1647</v>
      </c>
    </row>
    <row hidden="1" r="982" s="1" spans="1:12">
      <c r="A982" s="4" t="n">
        <v>43129</v>
      </c>
      <c r="B982" t="s">
        <v>1020</v>
      </c>
      <c r="C982" t="s">
        <v>1021</v>
      </c>
      <c r="D982" t="s">
        <v>245</v>
      </c>
      <c r="E982" t="s">
        <v>15</v>
      </c>
      <c r="F982" t="s">
        <v>16</v>
      </c>
      <c r="G982" t="s">
        <v>1648</v>
      </c>
      <c r="H982">
        <f>HYPERLINK("https://www.jouwictvacature.nl/solliciteren?job=php-web-developer-junior", "Link")</f>
        <v/>
      </c>
      <c r="I982" t="s">
        <v>17</v>
      </c>
      <c r="J982" t="s">
        <v>18</v>
      </c>
      <c r="K982" t="s">
        <v>1023</v>
      </c>
      <c r="L982" t="s">
        <v>1649</v>
      </c>
    </row>
    <row hidden="1" r="983" s="1" spans="1:12">
      <c r="A983" s="4" t="n">
        <v>43130</v>
      </c>
      <c r="B983" t="s">
        <v>317</v>
      </c>
      <c r="C983" t="s">
        <v>45</v>
      </c>
      <c r="D983" t="s">
        <v>14</v>
      </c>
      <c r="E983" t="s">
        <v>15</v>
      </c>
      <c r="F983" t="s">
        <v>28</v>
      </c>
      <c r="G983" t="s">
        <v>321</v>
      </c>
      <c r="H983">
        <f>HYPERLINK("https://www.jouwictvacature.nl/solliciteren?job=seniorjavascript-developer-bij-maximumnl", "Link")</f>
        <v/>
      </c>
      <c r="I983" t="s">
        <v>17</v>
      </c>
      <c r="J983" t="s">
        <v>18</v>
      </c>
      <c r="K983" t="s">
        <v>319</v>
      </c>
      <c r="L983" t="s">
        <v>322</v>
      </c>
    </row>
    <row hidden="1" r="984" s="1" spans="1:12">
      <c r="A984" s="4" t="n">
        <v>43130</v>
      </c>
      <c r="B984" t="s">
        <v>342</v>
      </c>
      <c r="C984" t="s">
        <v>309</v>
      </c>
      <c r="D984" t="s">
        <v>14</v>
      </c>
      <c r="E984" t="s">
        <v>15</v>
      </c>
      <c r="F984" t="s">
        <v>28</v>
      </c>
      <c r="G984" t="s">
        <v>1297</v>
      </c>
      <c r="H984">
        <f>HYPERLINK("https://www.jouwictvacature.nl/solliciteren?job=medior-php-developer-bij-muntz", "Link")</f>
        <v/>
      </c>
      <c r="I984" t="s">
        <v>17</v>
      </c>
      <c r="J984" t="s">
        <v>18</v>
      </c>
      <c r="K984" t="s">
        <v>344</v>
      </c>
      <c r="L984" t="s">
        <v>1298</v>
      </c>
    </row>
    <row hidden="1" r="985" s="1" spans="1:12">
      <c r="A985" s="4" t="n">
        <v>43130</v>
      </c>
      <c r="B985" t="s">
        <v>1251</v>
      </c>
      <c r="C985" t="s">
        <v>1252</v>
      </c>
      <c r="D985" t="s">
        <v>14</v>
      </c>
      <c r="E985" t="s">
        <v>15</v>
      </c>
      <c r="F985" t="s">
        <v>16</v>
      </c>
      <c r="G985" t="s">
        <v>1251</v>
      </c>
      <c r="H985">
        <f>HYPERLINK("https://www.jouwictvacature.nl/solliciteren?job=senior-back-end-developer-bij-indi-in-leek", "Link")</f>
        <v/>
      </c>
      <c r="I985" t="s">
        <v>17</v>
      </c>
      <c r="J985" t="s">
        <v>18</v>
      </c>
      <c r="K985" t="s">
        <v>1278</v>
      </c>
      <c r="L985" t="s">
        <v>1416</v>
      </c>
    </row>
    <row hidden="1" r="986" s="1" spans="1:12">
      <c r="A986" s="4" t="n">
        <v>43130</v>
      </c>
      <c r="B986" t="s">
        <v>1020</v>
      </c>
      <c r="C986" t="s">
        <v>1021</v>
      </c>
      <c r="D986" t="s">
        <v>245</v>
      </c>
      <c r="E986" t="s">
        <v>15</v>
      </c>
      <c r="F986" t="s">
        <v>16</v>
      </c>
      <c r="G986" t="s">
        <v>1648</v>
      </c>
      <c r="H986">
        <f>HYPERLINK("https://www.jouwictvacature.nl/solliciteren?job=php-web-developer-junior", "Link")</f>
        <v/>
      </c>
      <c r="I986" t="s">
        <v>17</v>
      </c>
      <c r="J986" t="s">
        <v>18</v>
      </c>
      <c r="K986" t="s">
        <v>1023</v>
      </c>
      <c r="L986" t="s">
        <v>1649</v>
      </c>
    </row>
    <row hidden="1" r="987" s="1" spans="1:12">
      <c r="A987" s="4" t="n">
        <v>43130</v>
      </c>
      <c r="B987" t="s">
        <v>693</v>
      </c>
      <c r="C987" t="s">
        <v>694</v>
      </c>
      <c r="D987" t="s">
        <v>22</v>
      </c>
      <c r="E987" t="s">
        <v>15</v>
      </c>
      <c r="F987" t="s">
        <v>16</v>
      </c>
      <c r="G987" t="s">
        <v>693</v>
      </c>
      <c r="H987">
        <f>HYPERLINK("https://www.jouwictvacature.nl/solliciteren?job=senior-mendix-developer", "Link")</f>
        <v/>
      </c>
      <c r="I987" t="s">
        <v>17</v>
      </c>
      <c r="J987" t="s">
        <v>18</v>
      </c>
      <c r="K987" t="s">
        <v>1339</v>
      </c>
      <c r="L987" t="s">
        <v>1340</v>
      </c>
    </row>
    <row hidden="1" r="988" s="1" spans="1:12">
      <c r="A988" s="4" t="n">
        <v>43130</v>
      </c>
      <c r="B988" t="s">
        <v>115</v>
      </c>
      <c r="C988" t="s">
        <v>62</v>
      </c>
      <c r="D988" t="s">
        <v>22</v>
      </c>
      <c r="E988" t="s">
        <v>15</v>
      </c>
      <c r="F988" t="s">
        <v>28</v>
      </c>
      <c r="G988" t="s">
        <v>1063</v>
      </c>
      <c r="H988">
        <f>HYPERLINK("https://www.jouwictvacature.nl/solliciteren?job=senior-developer-in-utrecht--vbnet-aspnet-java-spring-bij-bottomline", "Link")</f>
        <v/>
      </c>
      <c r="I988" t="s">
        <v>17</v>
      </c>
      <c r="J988" t="s">
        <v>18</v>
      </c>
      <c r="K988" t="s">
        <v>1064</v>
      </c>
      <c r="L988" t="s">
        <v>1065</v>
      </c>
    </row>
    <row hidden="1" r="989" s="1" spans="1:12">
      <c r="A989" s="4" t="n">
        <v>43130</v>
      </c>
      <c r="B989" t="s">
        <v>71</v>
      </c>
      <c r="C989" t="s">
        <v>62</v>
      </c>
      <c r="D989" t="s">
        <v>22</v>
      </c>
      <c r="E989" t="s">
        <v>15</v>
      </c>
      <c r="F989" t="s">
        <v>16</v>
      </c>
      <c r="G989" t="s">
        <v>81</v>
      </c>
      <c r="H989">
        <f>HYPERLINK("https://www.jouwictvacature.nl/solliciteren?job=traineeship-agile-test-engineer-bij-bartosz-bij-bartosz-utrecht", "Link")</f>
        <v/>
      </c>
      <c r="I989" t="s">
        <v>17</v>
      </c>
      <c r="J989" t="s">
        <v>18</v>
      </c>
      <c r="K989" t="s">
        <v>82</v>
      </c>
      <c r="L989" t="s">
        <v>1650</v>
      </c>
    </row>
    <row hidden="1" r="990" s="1" spans="1:12">
      <c r="A990" s="4" t="n">
        <v>43130</v>
      </c>
      <c r="B990" t="s">
        <v>61</v>
      </c>
      <c r="C990" t="s">
        <v>62</v>
      </c>
      <c r="D990" t="s">
        <v>22</v>
      </c>
      <c r="E990" t="s">
        <v>15</v>
      </c>
      <c r="F990" t="s">
        <v>52</v>
      </c>
      <c r="G990" t="s">
        <v>1651</v>
      </c>
      <c r="H990">
        <f>HYPERLINK("https://www.jouwictvacature.nl/solliciteren?job=medior-software-engineer-bij-axual--java-apache-kafka--incl-macbook-pr", "Link")</f>
        <v/>
      </c>
      <c r="I990" t="s">
        <v>17</v>
      </c>
      <c r="J990" t="s">
        <v>18</v>
      </c>
      <c r="K990" t="s">
        <v>69</v>
      </c>
      <c r="L990" t="s">
        <v>1652</v>
      </c>
    </row>
    <row hidden="1" r="991" s="1" spans="1:12">
      <c r="A991" s="4" t="n">
        <v>43132</v>
      </c>
      <c r="B991" t="s">
        <v>1020</v>
      </c>
      <c r="C991" t="s">
        <v>1021</v>
      </c>
      <c r="D991" t="s">
        <v>245</v>
      </c>
      <c r="E991" t="s">
        <v>15</v>
      </c>
      <c r="F991" t="s">
        <v>16</v>
      </c>
      <c r="G991" t="s">
        <v>1353</v>
      </c>
      <c r="H991">
        <f>HYPERLINK("https://www.jouwictvacature.nl/solliciteren?job=php-web-developer-medior-bij-the-fuel-company", "Link")</f>
        <v/>
      </c>
      <c r="I991" t="s">
        <v>17</v>
      </c>
      <c r="J991" t="s">
        <v>18</v>
      </c>
      <c r="K991" t="s">
        <v>1023</v>
      </c>
      <c r="L991" t="s">
        <v>1354</v>
      </c>
    </row>
    <row hidden="1" r="992" s="1" spans="1:12">
      <c r="A992" s="4" t="n">
        <v>43130</v>
      </c>
      <c r="B992" t="s">
        <v>174</v>
      </c>
      <c r="C992" t="s">
        <v>62</v>
      </c>
      <c r="D992" t="s">
        <v>22</v>
      </c>
      <c r="E992" t="s">
        <v>15</v>
      </c>
      <c r="F992" t="s">
        <v>52</v>
      </c>
      <c r="G992" t="s">
        <v>1653</v>
      </c>
      <c r="H992">
        <f>HYPERLINK("https://www.jouwictvacature.nl/solliciteren?job=medior-mobile-developer--ios-android-phonegap-objective-c-java-swift-b", "Link")</f>
        <v/>
      </c>
      <c r="I992" t="s">
        <v>17</v>
      </c>
      <c r="J992" t="s">
        <v>18</v>
      </c>
      <c r="K992" t="s">
        <v>188</v>
      </c>
      <c r="L992" t="s">
        <v>1654</v>
      </c>
    </row>
    <row hidden="1" r="993" s="1" spans="1:12">
      <c r="A993" s="4" t="n">
        <v>43130</v>
      </c>
      <c r="B993" t="s">
        <v>174</v>
      </c>
      <c r="C993" t="s">
        <v>80</v>
      </c>
      <c r="D993" t="s">
        <v>22</v>
      </c>
      <c r="E993" t="s">
        <v>15</v>
      </c>
      <c r="F993" t="s">
        <v>28</v>
      </c>
      <c r="G993" t="s">
        <v>1655</v>
      </c>
      <c r="H993">
        <f>HYPERLINK("https://www.jouwictvacature.nl/solliciteren?job=medior-java-developer--spring-grails-wicket-javascript-scala-2", "Link")</f>
        <v/>
      </c>
      <c r="I993" t="s">
        <v>17</v>
      </c>
      <c r="J993" t="s">
        <v>18</v>
      </c>
      <c r="K993" t="s">
        <v>176</v>
      </c>
      <c r="L993" t="s">
        <v>1656</v>
      </c>
    </row>
    <row r="994" spans="1:12">
      <c r="A994" s="4" t="n">
        <v>43130</v>
      </c>
      <c r="B994" t="s">
        <v>61</v>
      </c>
      <c r="C994" t="s">
        <v>62</v>
      </c>
      <c r="D994" t="s">
        <v>22</v>
      </c>
      <c r="E994" t="s">
        <v>51</v>
      </c>
      <c r="F994" t="s">
        <v>34</v>
      </c>
      <c r="G994" t="s">
        <v>63</v>
      </c>
      <c r="H994">
        <f>HYPERLINK("https://www.jouwictvacature.nl/solliciteren?job=junior-software-engineer-at-axual--java-scala-apache-kafka-spring-bij-", "Link")</f>
        <v/>
      </c>
      <c r="I994" t="s">
        <v>17</v>
      </c>
      <c r="J994" t="s">
        <v>18</v>
      </c>
      <c r="K994" t="s">
        <v>64</v>
      </c>
      <c r="L994" t="s">
        <v>65</v>
      </c>
    </row>
    <row hidden="1" r="995" s="1" spans="1:12">
      <c r="A995" s="4" t="n">
        <v>43130</v>
      </c>
      <c r="B995" t="s">
        <v>257</v>
      </c>
      <c r="C995" t="s">
        <v>13</v>
      </c>
      <c r="D995" t="s">
        <v>14</v>
      </c>
      <c r="E995" t="s">
        <v>15</v>
      </c>
      <c r="F995" t="s">
        <v>52</v>
      </c>
      <c r="G995" t="s">
        <v>264</v>
      </c>
      <c r="H995">
        <f>HYPERLINK("https://www.jouwictvacature.nl/solliciteren?job=medior-net-developer-met-communicatieve-skills", "Link")</f>
        <v/>
      </c>
      <c r="I995" t="s">
        <v>17</v>
      </c>
      <c r="J995" t="s">
        <v>18</v>
      </c>
      <c r="K995" t="s">
        <v>259</v>
      </c>
      <c r="L995" t="s">
        <v>265</v>
      </c>
    </row>
    <row hidden="1" r="996" s="1" spans="1:12">
      <c r="A996" s="4" t="n">
        <v>43130</v>
      </c>
      <c r="B996" t="s">
        <v>697</v>
      </c>
      <c r="C996" t="s">
        <v>619</v>
      </c>
      <c r="D996" t="s">
        <v>22</v>
      </c>
      <c r="E996" t="s">
        <v>15</v>
      </c>
      <c r="F996" t="s">
        <v>16</v>
      </c>
      <c r="G996" t="s">
        <v>697</v>
      </c>
      <c r="H996">
        <f>HYPERLINK("https://www.jouwictvacature.nl/solliciteren?job=medior-applicatie-engineer-bij-diract-it", "Link")</f>
        <v/>
      </c>
      <c r="I996" t="s">
        <v>17</v>
      </c>
      <c r="J996" t="s">
        <v>18</v>
      </c>
      <c r="K996" t="s">
        <v>698</v>
      </c>
      <c r="L996" t="s">
        <v>699</v>
      </c>
    </row>
    <row hidden="1" r="997" s="1" spans="1:12">
      <c r="A997" s="4" t="n">
        <v>43130</v>
      </c>
      <c r="B997" t="s">
        <v>346</v>
      </c>
      <c r="C997" t="s">
        <v>80</v>
      </c>
      <c r="D997" t="s">
        <v>14</v>
      </c>
      <c r="E997" t="s">
        <v>15</v>
      </c>
      <c r="F997" t="s">
        <v>16</v>
      </c>
      <c r="G997" t="s">
        <v>1620</v>
      </c>
      <c r="H997">
        <f>HYPERLINK("https://www.jouwictvacature.nl/solliciteren?job=webdeveloper-c-bij-mwm2", "Link")</f>
        <v/>
      </c>
      <c r="I997" t="s">
        <v>17</v>
      </c>
      <c r="J997" t="s">
        <v>18</v>
      </c>
      <c r="K997" t="s">
        <v>348</v>
      </c>
      <c r="L997" t="s">
        <v>1621</v>
      </c>
    </row>
    <row hidden="1" r="998" s="1" spans="1:12">
      <c r="A998" s="4" t="n">
        <v>43132</v>
      </c>
      <c r="B998" t="s">
        <v>526</v>
      </c>
      <c r="C998" t="s">
        <v>38</v>
      </c>
      <c r="D998" t="s">
        <v>245</v>
      </c>
      <c r="E998" t="s">
        <v>15</v>
      </c>
      <c r="F998" t="s">
        <v>16</v>
      </c>
      <c r="G998" t="s">
        <v>526</v>
      </c>
      <c r="H998">
        <f>HYPERLINK("https://www.jouwictvacature.nl/solliciteren?job=senior-net-developer--c-aspnet-mvc-angularjs-bij-thunderbuild-bv", "Link")</f>
        <v/>
      </c>
      <c r="I998" t="s">
        <v>17</v>
      </c>
      <c r="J998" t="s">
        <v>18</v>
      </c>
      <c r="K998" t="s">
        <v>527</v>
      </c>
      <c r="L998" t="s">
        <v>1657</v>
      </c>
    </row>
    <row hidden="1" r="999" s="1" spans="1:12">
      <c r="A999" s="4" t="n">
        <v>43130</v>
      </c>
      <c r="B999" t="s">
        <v>251</v>
      </c>
      <c r="C999" t="s">
        <v>80</v>
      </c>
      <c r="D999" t="s">
        <v>14</v>
      </c>
      <c r="E999" t="s">
        <v>15</v>
      </c>
      <c r="F999" t="s">
        <v>16</v>
      </c>
      <c r="G999" t="s">
        <v>1658</v>
      </c>
      <c r="H999">
        <f>HYPERLINK("https://www.jouwictvacature.nl/solliciteren?job=lead-c-developer--architect-bij-icatt-inhouse", "Link")</f>
        <v/>
      </c>
      <c r="I999" t="s">
        <v>17</v>
      </c>
      <c r="J999" t="s">
        <v>18</v>
      </c>
      <c r="K999" t="s">
        <v>253</v>
      </c>
      <c r="L999" t="s">
        <v>1659</v>
      </c>
    </row>
    <row hidden="1" r="1000" s="1" spans="1:12">
      <c r="A1000" s="4" t="n">
        <v>43130</v>
      </c>
      <c r="B1000" t="s">
        <v>196</v>
      </c>
      <c r="C1000" t="s">
        <v>197</v>
      </c>
      <c r="D1000" t="s">
        <v>22</v>
      </c>
      <c r="E1000" t="s">
        <v>15</v>
      </c>
      <c r="F1000" t="s">
        <v>34</v>
      </c>
      <c r="G1000" t="s">
        <v>1660</v>
      </c>
      <c r="H1000">
        <f>HYPERLINK("https://www.jouwictvacature.nl/solliciteren?job=junior-c-net--reactjs-developer-bij-easyads--net--reactjs--nodejs", "Link")</f>
        <v/>
      </c>
      <c r="I1000" t="s">
        <v>17</v>
      </c>
      <c r="J1000" t="s">
        <v>18</v>
      </c>
      <c r="K1000" t="s">
        <v>199</v>
      </c>
      <c r="L1000" t="s">
        <v>1661</v>
      </c>
    </row>
    <row hidden="1" r="1001" s="1" spans="1:12">
      <c r="A1001" s="4" t="n">
        <v>43130</v>
      </c>
      <c r="B1001" t="s">
        <v>785</v>
      </c>
      <c r="C1001" t="s">
        <v>522</v>
      </c>
      <c r="D1001" t="s">
        <v>22</v>
      </c>
      <c r="E1001" t="s">
        <v>15</v>
      </c>
      <c r="F1001" t="s">
        <v>16</v>
      </c>
      <c r="G1001" t="s">
        <v>785</v>
      </c>
      <c r="H1001">
        <f>HYPERLINK("https://www.jouwictvacature.nl/solliciteren?job=software-engineer-4", "Link")</f>
        <v/>
      </c>
      <c r="I1001" t="s">
        <v>17</v>
      </c>
      <c r="J1001" t="s">
        <v>18</v>
      </c>
      <c r="K1001" t="s">
        <v>1662</v>
      </c>
      <c r="L1001" t="s">
        <v>1663</v>
      </c>
    </row>
    <row hidden="1" r="1002" s="1" spans="1:12">
      <c r="A1002" s="4" t="n">
        <v>43130</v>
      </c>
      <c r="B1002" t="s">
        <v>1036</v>
      </c>
      <c r="C1002" t="s">
        <v>1037</v>
      </c>
      <c r="D1002" t="s">
        <v>14</v>
      </c>
      <c r="E1002" t="s">
        <v>15</v>
      </c>
      <c r="F1002" t="s">
        <v>52</v>
      </c>
      <c r="G1002" t="s">
        <v>1152</v>
      </c>
      <c r="H1002">
        <f>HYPERLINK("https://www.jouwictvacature.nl/solliciteren?job=medior-nodejs-developer-bij-onsweb", "Link")</f>
        <v/>
      </c>
      <c r="I1002" t="s">
        <v>17</v>
      </c>
      <c r="J1002" t="s">
        <v>18</v>
      </c>
      <c r="K1002" t="s">
        <v>1039</v>
      </c>
      <c r="L1002" t="s">
        <v>1153</v>
      </c>
    </row>
    <row hidden="1" r="1003" s="1" spans="1:12">
      <c r="A1003" s="4" t="n">
        <v>43130</v>
      </c>
      <c r="B1003" t="s">
        <v>196</v>
      </c>
      <c r="C1003" t="s">
        <v>197</v>
      </c>
      <c r="D1003" t="s">
        <v>22</v>
      </c>
      <c r="E1003" t="s">
        <v>15</v>
      </c>
      <c r="F1003" t="s">
        <v>28</v>
      </c>
      <c r="G1003" t="s">
        <v>205</v>
      </c>
      <c r="H1003">
        <f>HYPERLINK("https://www.jouwictvacature.nl/solliciteren?job=senior-c-net--reactjs-developer-bij-easyads-inhouse", "Link")</f>
        <v/>
      </c>
      <c r="I1003" t="s">
        <v>17</v>
      </c>
      <c r="J1003" t="s">
        <v>18</v>
      </c>
      <c r="K1003" t="s">
        <v>199</v>
      </c>
      <c r="L1003" t="s">
        <v>206</v>
      </c>
    </row>
    <row hidden="1" r="1004" s="1" spans="1:12">
      <c r="A1004" s="4" t="n">
        <v>43130</v>
      </c>
      <c r="B1004" t="s">
        <v>142</v>
      </c>
      <c r="C1004" t="s">
        <v>143</v>
      </c>
      <c r="D1004" t="s">
        <v>22</v>
      </c>
      <c r="E1004" t="s">
        <v>15</v>
      </c>
      <c r="F1004" t="s">
        <v>52</v>
      </c>
      <c r="G1004" t="s">
        <v>1664</v>
      </c>
      <c r="H1004">
        <f>HYPERLINK("https://www.jouwictvacature.nl/solliciteren?job=medior-full-stack-developer-bij-coas", "Link")</f>
        <v/>
      </c>
      <c r="I1004" t="s">
        <v>17</v>
      </c>
      <c r="J1004" t="s">
        <v>18</v>
      </c>
      <c r="K1004" t="s">
        <v>145</v>
      </c>
      <c r="L1004" t="s">
        <v>1665</v>
      </c>
    </row>
    <row hidden="1" r="1005" s="1" spans="1:12">
      <c r="A1005" s="4" t="n">
        <v>43130</v>
      </c>
      <c r="B1005" t="s">
        <v>1484</v>
      </c>
      <c r="C1005" t="s">
        <v>1027</v>
      </c>
      <c r="D1005" t="s">
        <v>22</v>
      </c>
      <c r="E1005" t="s">
        <v>15</v>
      </c>
      <c r="F1005" t="s">
        <v>16</v>
      </c>
      <c r="G1005" t="s">
        <v>1484</v>
      </c>
      <c r="H1005">
        <f>HYPERLINK("https://www.jouwictvacature.nl/solliciteren?job=fullstack-developer-met-reactjs-ervaring-bij-flexkids", "Link")</f>
        <v/>
      </c>
      <c r="I1005" t="s">
        <v>17</v>
      </c>
      <c r="J1005" t="s">
        <v>18</v>
      </c>
      <c r="K1005" t="s">
        <v>1485</v>
      </c>
      <c r="L1005" t="s">
        <v>1486</v>
      </c>
    </row>
    <row hidden="1" r="1006" s="1" spans="1:12">
      <c r="A1006" s="4" t="n">
        <v>43130</v>
      </c>
      <c r="B1006" t="s">
        <v>317</v>
      </c>
      <c r="C1006" t="s">
        <v>45</v>
      </c>
      <c r="D1006" t="s">
        <v>14</v>
      </c>
      <c r="E1006" t="s">
        <v>15</v>
      </c>
      <c r="F1006" t="s">
        <v>28</v>
      </c>
      <c r="G1006" t="s">
        <v>321</v>
      </c>
      <c r="H1006">
        <f>HYPERLINK("https://www.jouwictvacature.nl/solliciteren?job=seniorjavascript-developer-bij-maximumnl", "Link")</f>
        <v/>
      </c>
      <c r="I1006" t="s">
        <v>17</v>
      </c>
      <c r="J1006" t="s">
        <v>18</v>
      </c>
      <c r="K1006" t="s">
        <v>319</v>
      </c>
      <c r="L1006" t="s">
        <v>322</v>
      </c>
    </row>
    <row hidden="1" r="1007" s="1" spans="1:12">
      <c r="A1007" s="4" t="n">
        <v>43130</v>
      </c>
      <c r="B1007" t="s">
        <v>230</v>
      </c>
      <c r="C1007" t="s">
        <v>93</v>
      </c>
      <c r="D1007" t="s">
        <v>22</v>
      </c>
      <c r="E1007" t="s">
        <v>15</v>
      </c>
      <c r="F1007" t="s">
        <v>28</v>
      </c>
      <c r="G1007" t="s">
        <v>1666</v>
      </c>
      <c r="H1007">
        <f>HYPERLINK("https://www.jouwictvacature.nl/solliciteren?job=senior-php-programmeur-bij-hvmp-marketing--ernesto-", "Link")</f>
        <v/>
      </c>
      <c r="I1007" t="s">
        <v>17</v>
      </c>
      <c r="J1007" t="s">
        <v>18</v>
      </c>
      <c r="K1007" t="s">
        <v>235</v>
      </c>
      <c r="L1007" t="s">
        <v>1667</v>
      </c>
    </row>
    <row hidden="1" r="1008" s="1" spans="1:12">
      <c r="A1008" s="4" t="n">
        <v>43129</v>
      </c>
      <c r="B1008" t="s">
        <v>529</v>
      </c>
      <c r="C1008" t="s">
        <v>76</v>
      </c>
      <c r="D1008" t="s">
        <v>245</v>
      </c>
      <c r="E1008" t="s">
        <v>15</v>
      </c>
      <c r="F1008" t="s">
        <v>16</v>
      </c>
      <c r="G1008" t="s">
        <v>529</v>
      </c>
      <c r="H1008">
        <f>HYPERLINK("https://www.jouwictvacature.nl/solliciteren?job=medior-frontend-developer-javascript-bij-tradecast", "Link")</f>
        <v/>
      </c>
      <c r="I1008" t="s">
        <v>17</v>
      </c>
      <c r="J1008" t="s">
        <v>18</v>
      </c>
      <c r="K1008" t="s">
        <v>1668</v>
      </c>
      <c r="L1008" t="s">
        <v>1669</v>
      </c>
    </row>
    <row hidden="1" r="1009" s="1" spans="1:12">
      <c r="A1009" s="4" t="n">
        <v>43130</v>
      </c>
      <c r="B1009" t="s">
        <v>878</v>
      </c>
      <c r="C1009" t="s">
        <v>1670</v>
      </c>
      <c r="D1009" t="s">
        <v>22</v>
      </c>
      <c r="E1009" t="s">
        <v>15</v>
      </c>
      <c r="F1009" t="s">
        <v>52</v>
      </c>
      <c r="G1009" t="s">
        <v>301</v>
      </c>
      <c r="H1009">
        <f>HYPERLINK("https://www.jouwictvacature.nl/solliciteren?job=medior-php-developer-bij-divtag", "Link")</f>
        <v/>
      </c>
      <c r="I1009" t="s">
        <v>17</v>
      </c>
      <c r="J1009" t="s">
        <v>18</v>
      </c>
      <c r="K1009" t="s">
        <v>879</v>
      </c>
      <c r="L1009" t="s">
        <v>880</v>
      </c>
    </row>
    <row hidden="1" r="1010" s="1" spans="1:12">
      <c r="A1010" s="4" t="n">
        <v>43130</v>
      </c>
      <c r="B1010" t="s">
        <v>293</v>
      </c>
      <c r="C1010" t="s">
        <v>294</v>
      </c>
      <c r="D1010" t="s">
        <v>14</v>
      </c>
      <c r="E1010" t="s">
        <v>15</v>
      </c>
      <c r="F1010" t="s">
        <v>52</v>
      </c>
      <c r="G1010" t="s">
        <v>1246</v>
      </c>
      <c r="H1010">
        <f>HYPERLINK("https://www.jouwictvacature.nl/solliciteren?job=medior-webdeveloper--fulltime-bij-koekenpeer", "Link")</f>
        <v/>
      </c>
      <c r="I1010" t="s">
        <v>17</v>
      </c>
      <c r="J1010" t="s">
        <v>18</v>
      </c>
      <c r="K1010" t="s">
        <v>302</v>
      </c>
      <c r="L1010" t="s">
        <v>1553</v>
      </c>
    </row>
    <row r="1011" spans="1:12">
      <c r="A1011" s="4" t="n">
        <v>43130</v>
      </c>
      <c r="B1011" t="s">
        <v>889</v>
      </c>
      <c r="C1011" t="s">
        <v>80</v>
      </c>
      <c r="D1011" t="s">
        <v>14</v>
      </c>
      <c r="E1011" t="s">
        <v>51</v>
      </c>
      <c r="F1011" t="s">
        <v>52</v>
      </c>
      <c r="G1011" t="s">
        <v>1299</v>
      </c>
      <c r="H1011">
        <f>HYPERLINK("https://www.jouwictvacature.nl/solliciteren?job=mediorphp-developer-bij-lightspeed-bij-lightspeed", "Link")</f>
        <v/>
      </c>
      <c r="I1011" t="s">
        <v>17</v>
      </c>
      <c r="J1011" t="s">
        <v>18</v>
      </c>
      <c r="K1011" t="s">
        <v>891</v>
      </c>
      <c r="L1011" t="s">
        <v>1300</v>
      </c>
    </row>
    <row hidden="1" r="1012" s="1" spans="1:12">
      <c r="A1012" s="4" t="n">
        <v>43130</v>
      </c>
      <c r="B1012" t="s">
        <v>719</v>
      </c>
      <c r="C1012" t="s">
        <v>93</v>
      </c>
      <c r="D1012" t="s">
        <v>14</v>
      </c>
      <c r="E1012" t="s">
        <v>15</v>
      </c>
      <c r="F1012" t="s">
        <v>28</v>
      </c>
      <c r="G1012" t="s">
        <v>1671</v>
      </c>
      <c r="H1012">
        <f>HYPERLINK("https://www.jouwictvacature.nl/solliciteren?job=senior-laravel-back-end-developer-bij-23g", "Link")</f>
        <v/>
      </c>
      <c r="I1012" t="s">
        <v>17</v>
      </c>
      <c r="J1012" t="s">
        <v>18</v>
      </c>
      <c r="K1012" t="s">
        <v>721</v>
      </c>
      <c r="L1012" t="s">
        <v>1672</v>
      </c>
    </row>
    <row hidden="1" r="1013" s="1" spans="1:12">
      <c r="A1013" s="4" t="n">
        <v>43130</v>
      </c>
      <c r="B1013" t="s">
        <v>354</v>
      </c>
      <c r="C1013" t="s">
        <v>50</v>
      </c>
      <c r="D1013" t="s">
        <v>14</v>
      </c>
      <c r="E1013" t="s">
        <v>15</v>
      </c>
      <c r="F1013" t="s">
        <v>16</v>
      </c>
      <c r="G1013" t="s">
        <v>800</v>
      </c>
      <c r="H1013">
        <f>HYPERLINK("https://www.jouwictvacature.nl/solliciteren?job=e-commerce-developer", "Link")</f>
        <v/>
      </c>
      <c r="I1013" t="s">
        <v>17</v>
      </c>
      <c r="J1013" t="s">
        <v>18</v>
      </c>
      <c r="K1013" t="s">
        <v>801</v>
      </c>
      <c r="L1013" t="s">
        <v>802</v>
      </c>
    </row>
    <row hidden="1" r="1014" s="1" spans="1:12">
      <c r="A1014" s="4" t="n">
        <v>43132</v>
      </c>
      <c r="B1014" t="s">
        <v>529</v>
      </c>
      <c r="C1014" t="s">
        <v>76</v>
      </c>
      <c r="D1014" t="s">
        <v>245</v>
      </c>
      <c r="E1014" t="s">
        <v>15</v>
      </c>
      <c r="F1014" t="s">
        <v>16</v>
      </c>
      <c r="G1014" t="s">
        <v>529</v>
      </c>
      <c r="H1014">
        <f>HYPERLINK("https://www.jouwictvacature.nl/solliciteren?job=medior-backend-javascript-developer-bij-tradecast", "Link")</f>
        <v/>
      </c>
      <c r="I1014" t="s">
        <v>17</v>
      </c>
      <c r="J1014" t="s">
        <v>18</v>
      </c>
      <c r="K1014" t="s">
        <v>817</v>
      </c>
      <c r="L1014" t="s">
        <v>818</v>
      </c>
    </row>
    <row hidden="1" r="1015" s="1" spans="1:12">
      <c r="A1015" s="4" t="n">
        <v>43130</v>
      </c>
      <c r="B1015" t="s">
        <v>304</v>
      </c>
      <c r="C1015" t="s">
        <v>305</v>
      </c>
      <c r="D1015" t="s">
        <v>14</v>
      </c>
      <c r="E1015" t="s">
        <v>15</v>
      </c>
      <c r="F1015" t="s">
        <v>16</v>
      </c>
      <c r="G1015" t="s">
        <v>304</v>
      </c>
      <c r="H1015">
        <f>HYPERLINK("https://www.jouwictvacature.nl/solliciteren?job=senior-nodejs-software-engineer-bij-ksyos", "Link")</f>
        <v/>
      </c>
      <c r="I1015" t="s">
        <v>17</v>
      </c>
      <c r="J1015" t="s">
        <v>18</v>
      </c>
      <c r="K1015" t="s">
        <v>306</v>
      </c>
      <c r="L1015" t="s">
        <v>1673</v>
      </c>
    </row>
    <row hidden="1" r="1016" s="1" spans="1:12">
      <c r="A1016" s="4" t="n">
        <v>43130</v>
      </c>
      <c r="B1016" t="s">
        <v>745</v>
      </c>
      <c r="C1016" t="s">
        <v>80</v>
      </c>
      <c r="D1016" t="s">
        <v>22</v>
      </c>
      <c r="E1016" t="s">
        <v>15</v>
      </c>
      <c r="F1016" t="s">
        <v>16</v>
      </c>
      <c r="G1016" t="s">
        <v>745</v>
      </c>
      <c r="H1016">
        <f>HYPERLINK("https://www.jouwictvacature.nl/solliciteren?job=front-end-developer-bij-hostnet", "Link")</f>
        <v/>
      </c>
      <c r="I1016" t="s">
        <v>17</v>
      </c>
      <c r="J1016" t="s">
        <v>18</v>
      </c>
      <c r="K1016" t="s">
        <v>746</v>
      </c>
      <c r="L1016" t="s">
        <v>1674</v>
      </c>
    </row>
    <row hidden="1" r="1017" s="1" spans="1:12">
      <c r="A1017" s="4" t="n">
        <v>43130</v>
      </c>
      <c r="B1017" t="s">
        <v>317</v>
      </c>
      <c r="C1017" t="s">
        <v>45</v>
      </c>
      <c r="D1017" t="s">
        <v>14</v>
      </c>
      <c r="E1017" t="s">
        <v>15</v>
      </c>
      <c r="F1017" t="s">
        <v>34</v>
      </c>
      <c r="G1017" t="s">
        <v>363</v>
      </c>
      <c r="H1017">
        <f>HYPERLINK("https://www.jouwictvacature.nl/solliciteren?job=junior-javascript-developer-3", "Link")</f>
        <v/>
      </c>
      <c r="I1017" t="s">
        <v>17</v>
      </c>
      <c r="J1017" t="s">
        <v>18</v>
      </c>
      <c r="K1017" t="s">
        <v>319</v>
      </c>
      <c r="L1017" t="s">
        <v>1025</v>
      </c>
    </row>
    <row hidden="1" r="1018" s="1" spans="1:12">
      <c r="A1018" s="4" t="n">
        <v>43130</v>
      </c>
      <c r="B1018" t="s">
        <v>374</v>
      </c>
      <c r="C1018" t="s">
        <v>93</v>
      </c>
      <c r="D1018" t="s">
        <v>14</v>
      </c>
      <c r="E1018" t="s">
        <v>15</v>
      </c>
      <c r="F1018" t="s">
        <v>34</v>
      </c>
      <c r="G1018" t="s">
        <v>1675</v>
      </c>
      <c r="H1018">
        <f>HYPERLINK("https://www.jouwictvacature.nl/solliciteren?job=junior-front-end-developer-met-reactjs-ervaring-bij-oo-shopping", "Link")</f>
        <v/>
      </c>
      <c r="I1018" t="s">
        <v>17</v>
      </c>
      <c r="J1018" t="s">
        <v>18</v>
      </c>
      <c r="K1018" t="s">
        <v>376</v>
      </c>
      <c r="L1018" t="s">
        <v>1676</v>
      </c>
    </row>
    <row hidden="1" r="1019" s="1" spans="1:12">
      <c r="A1019" s="4" t="n">
        <v>43130</v>
      </c>
      <c r="B1019" t="s">
        <v>142</v>
      </c>
      <c r="C1019" t="s">
        <v>143</v>
      </c>
      <c r="D1019" t="s">
        <v>22</v>
      </c>
      <c r="E1019" t="s">
        <v>15</v>
      </c>
      <c r="F1019" t="s">
        <v>52</v>
      </c>
      <c r="G1019" t="s">
        <v>147</v>
      </c>
      <c r="H1019">
        <f>HYPERLINK("https://www.jouwictvacature.nl/solliciteren?job=medior-allround-developer-bij-coas", "Link")</f>
        <v/>
      </c>
      <c r="I1019" t="s">
        <v>17</v>
      </c>
      <c r="J1019" t="s">
        <v>18</v>
      </c>
      <c r="K1019" t="s">
        <v>145</v>
      </c>
      <c r="L1019" t="s">
        <v>148</v>
      </c>
    </row>
    <row r="1020" spans="1:12">
      <c r="A1020" s="4" t="n">
        <v>43129</v>
      </c>
      <c r="B1020" t="s">
        <v>532</v>
      </c>
      <c r="C1020" t="s">
        <v>80</v>
      </c>
      <c r="D1020" t="s">
        <v>245</v>
      </c>
      <c r="E1020" t="s">
        <v>51</v>
      </c>
      <c r="F1020" t="s">
        <v>28</v>
      </c>
      <c r="G1020" t="s">
        <v>1677</v>
      </c>
      <c r="H1020">
        <f>HYPERLINK("https://www.jouwictvacature.nl/solliciteren?job=senior-backend-software-engineer--java-net-groovy-python-mongo-docker-", "Link")</f>
        <v/>
      </c>
      <c r="I1020" t="s">
        <v>17</v>
      </c>
      <c r="J1020" t="s">
        <v>18</v>
      </c>
      <c r="K1020" t="s">
        <v>1678</v>
      </c>
      <c r="L1020" t="s">
        <v>1679</v>
      </c>
    </row>
    <row r="1021" spans="1:12">
      <c r="A1021" s="4" t="n">
        <v>43129</v>
      </c>
      <c r="B1021" t="s">
        <v>532</v>
      </c>
      <c r="C1021" t="s">
        <v>80</v>
      </c>
      <c r="D1021" t="s">
        <v>245</v>
      </c>
      <c r="E1021" t="s">
        <v>51</v>
      </c>
      <c r="F1021" t="s">
        <v>34</v>
      </c>
      <c r="G1021" t="s">
        <v>1330</v>
      </c>
      <c r="H1021">
        <f>HYPERLINK("https://www.jouwictvacature.nl/solliciteren?job=junior-java-developer-in-amsterdam--spring-nosql-databases-elasticsear", "Link")</f>
        <v/>
      </c>
      <c r="I1021" t="s">
        <v>17</v>
      </c>
      <c r="J1021" t="s">
        <v>18</v>
      </c>
      <c r="K1021" t="s">
        <v>537</v>
      </c>
      <c r="L1021" t="s">
        <v>1331</v>
      </c>
    </row>
    <row hidden="1" r="1022" s="1" spans="1:12">
      <c r="A1022" s="4" t="n">
        <v>43130</v>
      </c>
      <c r="B1022" t="s">
        <v>365</v>
      </c>
      <c r="C1022" t="s">
        <v>366</v>
      </c>
      <c r="D1022" t="s">
        <v>14</v>
      </c>
      <c r="E1022" t="s">
        <v>15</v>
      </c>
      <c r="F1022" t="s">
        <v>52</v>
      </c>
      <c r="G1022" t="s">
        <v>1680</v>
      </c>
      <c r="H1022">
        <f>HYPERLINK("https://www.jouwictvacature.nl/solliciteren?job=medior-javascript-ontwikkelaar-bij-not-on-paper", "Link")</f>
        <v/>
      </c>
      <c r="I1022" t="s">
        <v>17</v>
      </c>
      <c r="J1022" t="s">
        <v>18</v>
      </c>
      <c r="K1022" t="s">
        <v>740</v>
      </c>
      <c r="L1022" t="s">
        <v>1681</v>
      </c>
    </row>
    <row r="1023" spans="1:12">
      <c r="A1023" s="4" t="n">
        <v>43130</v>
      </c>
      <c r="B1023" t="s">
        <v>49</v>
      </c>
      <c r="C1023" t="s">
        <v>50</v>
      </c>
      <c r="D1023" t="s">
        <v>22</v>
      </c>
      <c r="E1023" t="s">
        <v>51</v>
      </c>
      <c r="F1023" t="s">
        <v>34</v>
      </c>
      <c r="G1023" t="s">
        <v>1682</v>
      </c>
      <c r="H1023">
        <f>HYPERLINK("https://www.jouwictvacature.nl/solliciteren?job=junior-allround-developer-bij-asamco-bv", "Link")</f>
        <v/>
      </c>
      <c r="I1023" t="s">
        <v>17</v>
      </c>
      <c r="J1023" t="s">
        <v>18</v>
      </c>
      <c r="K1023" t="s">
        <v>59</v>
      </c>
      <c r="L1023" t="s">
        <v>1683</v>
      </c>
    </row>
    <row r="1024" spans="1:12">
      <c r="A1024" s="4" t="n">
        <v>43129</v>
      </c>
      <c r="B1024" t="s">
        <v>532</v>
      </c>
      <c r="C1024" t="s">
        <v>80</v>
      </c>
      <c r="D1024" t="s">
        <v>245</v>
      </c>
      <c r="E1024" t="s">
        <v>51</v>
      </c>
      <c r="F1024" t="s">
        <v>52</v>
      </c>
      <c r="G1024" t="s">
        <v>605</v>
      </c>
      <c r="H1024">
        <f>HYPERLINK("https://www.jouwictvacature.nl/solliciteren?job=medior-java-developer-at-trifork-in-amsterdam-bij-trifork", "Link")</f>
        <v/>
      </c>
      <c r="I1024" t="s">
        <v>17</v>
      </c>
      <c r="J1024" t="s">
        <v>18</v>
      </c>
      <c r="K1024" t="s">
        <v>537</v>
      </c>
      <c r="L1024" t="s">
        <v>606</v>
      </c>
    </row>
    <row hidden="1" r="1025" s="1" spans="1:12">
      <c r="A1025" s="4" t="n">
        <v>43132</v>
      </c>
      <c r="B1025" t="s">
        <v>71</v>
      </c>
      <c r="C1025" t="s">
        <v>38</v>
      </c>
      <c r="D1025" t="s">
        <v>22</v>
      </c>
      <c r="E1025" t="s">
        <v>15</v>
      </c>
      <c r="F1025" t="s">
        <v>28</v>
      </c>
      <c r="G1025" t="s">
        <v>1568</v>
      </c>
      <c r="H1025">
        <f>HYPERLINK("https://www.jouwictvacature.nl/solliciteren?job=senior-testanalist-bij-bartosz-bij-bartosz-eindhoven", "Link")</f>
        <v/>
      </c>
      <c r="I1025" t="s">
        <v>17</v>
      </c>
      <c r="J1025" t="s">
        <v>18</v>
      </c>
      <c r="K1025" t="s">
        <v>95</v>
      </c>
      <c r="L1025" t="s">
        <v>1569</v>
      </c>
    </row>
    <row hidden="1" r="1026" s="1" spans="1:12">
      <c r="A1026" s="4" t="n">
        <v>43132</v>
      </c>
      <c r="B1026" t="s">
        <v>833</v>
      </c>
      <c r="C1026" t="s">
        <v>834</v>
      </c>
      <c r="D1026" t="s">
        <v>22</v>
      </c>
      <c r="E1026" t="s">
        <v>15</v>
      </c>
      <c r="F1026" t="s">
        <v>52</v>
      </c>
      <c r="G1026" t="s">
        <v>1684</v>
      </c>
      <c r="H1026">
        <f>HYPERLINK("https://www.jouwictvacature.nl/solliciteren?job=medior-java-developer-6", "Link")</f>
        <v/>
      </c>
      <c r="I1026" t="s">
        <v>17</v>
      </c>
      <c r="J1026" t="s">
        <v>18</v>
      </c>
      <c r="K1026" t="s">
        <v>1685</v>
      </c>
      <c r="L1026" t="s">
        <v>1686</v>
      </c>
    </row>
    <row r="1027" spans="1:12">
      <c r="A1027" s="4" t="n">
        <v>43130</v>
      </c>
      <c r="B1027" t="s">
        <v>532</v>
      </c>
      <c r="C1027" t="s">
        <v>80</v>
      </c>
      <c r="D1027" t="s">
        <v>245</v>
      </c>
      <c r="E1027" t="s">
        <v>51</v>
      </c>
      <c r="F1027" t="s">
        <v>28</v>
      </c>
      <c r="G1027" t="s">
        <v>1687</v>
      </c>
      <c r="H1027">
        <f>HYPERLINK("https://www.jouwictvacature.nl/solliciteren?job=senior-java-developer-at-trifork-in-amsterdam", "Link")</f>
        <v/>
      </c>
      <c r="I1027" t="s">
        <v>17</v>
      </c>
      <c r="J1027" t="s">
        <v>18</v>
      </c>
      <c r="K1027" t="s">
        <v>537</v>
      </c>
      <c r="L1027" t="s">
        <v>1688</v>
      </c>
    </row>
    <row r="1028" spans="1:12">
      <c r="A1028" s="4" t="n">
        <v>43130</v>
      </c>
      <c r="B1028" t="s">
        <v>532</v>
      </c>
      <c r="C1028" t="s">
        <v>80</v>
      </c>
      <c r="D1028" t="s">
        <v>245</v>
      </c>
      <c r="E1028" t="s">
        <v>51</v>
      </c>
      <c r="F1028" t="s">
        <v>28</v>
      </c>
      <c r="G1028" t="s">
        <v>1689</v>
      </c>
      <c r="H1028">
        <f>HYPERLINK("https://www.jouwictvacature.nl/solliciteren?job=senior-machine-learning-developer-at-trifork-in-amsterdam", "Link")</f>
        <v/>
      </c>
      <c r="I1028" t="s">
        <v>17</v>
      </c>
      <c r="J1028" t="s">
        <v>18</v>
      </c>
      <c r="K1028" t="s">
        <v>542</v>
      </c>
      <c r="L1028" t="s">
        <v>1690</v>
      </c>
    </row>
    <row hidden="1" r="1029" s="1" spans="1:12">
      <c r="A1029" s="4" t="n">
        <v>43132</v>
      </c>
      <c r="B1029" t="s">
        <v>71</v>
      </c>
      <c r="C1029" t="s">
        <v>80</v>
      </c>
      <c r="D1029" t="s">
        <v>22</v>
      </c>
      <c r="E1029" t="s">
        <v>15</v>
      </c>
      <c r="F1029" t="s">
        <v>34</v>
      </c>
      <c r="G1029" t="s">
        <v>1170</v>
      </c>
      <c r="H1029">
        <f>HYPERLINK("https://www.jouwictvacature.nl/solliciteren?job=junior-agile-test-specialist-bij-bartosz", "Link")</f>
        <v/>
      </c>
      <c r="I1029" t="s">
        <v>17</v>
      </c>
      <c r="J1029" t="s">
        <v>18</v>
      </c>
      <c r="K1029" t="s">
        <v>91</v>
      </c>
      <c r="L1029" t="s">
        <v>1171</v>
      </c>
    </row>
    <row hidden="1" r="1030" s="1" spans="1:12">
      <c r="A1030" s="4" t="n">
        <v>43132</v>
      </c>
      <c r="B1030" t="s">
        <v>71</v>
      </c>
      <c r="C1030" t="s">
        <v>72</v>
      </c>
      <c r="D1030" t="s">
        <v>22</v>
      </c>
      <c r="E1030" t="s">
        <v>15</v>
      </c>
      <c r="F1030" t="s">
        <v>16</v>
      </c>
      <c r="G1030" t="s">
        <v>918</v>
      </c>
      <c r="H1030">
        <f>HYPERLINK("https://www.jouwictvacature.nl/solliciteren?job=startende-agile-test-engineer-bij-bartosz-bij-bartosz-arnhem", "Link")</f>
        <v/>
      </c>
      <c r="I1030" t="s">
        <v>17</v>
      </c>
      <c r="J1030" t="s">
        <v>18</v>
      </c>
      <c r="K1030" t="s">
        <v>608</v>
      </c>
      <c r="L1030" t="s">
        <v>1120</v>
      </c>
    </row>
    <row r="1031" spans="1:12">
      <c r="A1031" s="4" t="n">
        <v>43130</v>
      </c>
      <c r="B1031" t="s">
        <v>532</v>
      </c>
      <c r="C1031" t="s">
        <v>80</v>
      </c>
      <c r="D1031" t="s">
        <v>245</v>
      </c>
      <c r="E1031" t="s">
        <v>51</v>
      </c>
      <c r="F1031" t="s">
        <v>28</v>
      </c>
      <c r="G1031" t="s">
        <v>1691</v>
      </c>
      <c r="H1031">
        <f>HYPERLINK("https://www.jouwictvacature.nl/solliciteren?job=senior-innovative-backend-software-engineer-at-trifork-bij-trifork", "Link")</f>
        <v/>
      </c>
      <c r="I1031" t="s">
        <v>17</v>
      </c>
      <c r="J1031" t="s">
        <v>18</v>
      </c>
      <c r="K1031" t="s">
        <v>1678</v>
      </c>
      <c r="L1031" t="s">
        <v>1692</v>
      </c>
    </row>
    <row hidden="1" r="1032" s="1" spans="1:12">
      <c r="A1032" s="4" t="n">
        <v>43132</v>
      </c>
      <c r="B1032" t="s">
        <v>237</v>
      </c>
      <c r="C1032" t="s">
        <v>62</v>
      </c>
      <c r="D1032" t="s">
        <v>22</v>
      </c>
      <c r="E1032" t="s">
        <v>15</v>
      </c>
      <c r="F1032" t="s">
        <v>34</v>
      </c>
      <c r="G1032" t="s">
        <v>1540</v>
      </c>
      <c r="H1032">
        <f>HYPERLINK("https://www.jouwictvacature.nl/solliciteren?job=junior-integratie-specialist--mulesoft-oracle-soa-suite-wso2-websphere", "Link")</f>
        <v/>
      </c>
      <c r="I1032" t="s">
        <v>17</v>
      </c>
      <c r="J1032" t="s">
        <v>18</v>
      </c>
      <c r="K1032" t="s">
        <v>1541</v>
      </c>
      <c r="L1032" t="s">
        <v>1542</v>
      </c>
    </row>
    <row hidden="1" r="1033" s="1" spans="1:12">
      <c r="A1033" s="4" t="n">
        <v>43132</v>
      </c>
      <c r="B1033" t="s">
        <v>71</v>
      </c>
      <c r="C1033" t="s">
        <v>76</v>
      </c>
      <c r="D1033" t="s">
        <v>22</v>
      </c>
      <c r="E1033" t="s">
        <v>15</v>
      </c>
      <c r="F1033" t="s">
        <v>28</v>
      </c>
      <c r="G1033" t="s">
        <v>1215</v>
      </c>
      <c r="H1033">
        <f>HYPERLINK("https://www.jouwictvacature.nl/solliciteren?job=senior-testanalist-bij-bartosz-bij-bartosz-zwolle", "Link")</f>
        <v/>
      </c>
      <c r="I1033" t="s">
        <v>17</v>
      </c>
      <c r="J1033" t="s">
        <v>18</v>
      </c>
      <c r="K1033" t="s">
        <v>95</v>
      </c>
      <c r="L1033" t="s">
        <v>1693</v>
      </c>
    </row>
    <row hidden="1" r="1034" s="1" spans="1:12">
      <c r="A1034" s="4" t="n">
        <v>43132</v>
      </c>
      <c r="B1034" t="s">
        <v>71</v>
      </c>
      <c r="C1034" t="s">
        <v>72</v>
      </c>
      <c r="D1034" t="s">
        <v>22</v>
      </c>
      <c r="E1034" t="s">
        <v>15</v>
      </c>
      <c r="F1034" t="s">
        <v>34</v>
      </c>
      <c r="G1034" t="s">
        <v>1425</v>
      </c>
      <c r="H1034">
        <f>HYPERLINK("https://www.jouwictvacature.nl/solliciteren?job=junior-agile-test-specialist-bij-bartosz-bij-bartosz-amsterdam-2", "Link")</f>
        <v/>
      </c>
      <c r="I1034" t="s">
        <v>17</v>
      </c>
      <c r="J1034" t="s">
        <v>18</v>
      </c>
      <c r="K1034" t="s">
        <v>91</v>
      </c>
      <c r="L1034" t="s">
        <v>1426</v>
      </c>
    </row>
    <row hidden="1" r="1035" s="1" spans="1:12">
      <c r="A1035" s="4" t="n">
        <v>43132</v>
      </c>
      <c r="B1035" t="s">
        <v>1174</v>
      </c>
      <c r="C1035" t="s">
        <v>1175</v>
      </c>
      <c r="D1035" t="s">
        <v>22</v>
      </c>
      <c r="E1035" t="s">
        <v>15</v>
      </c>
      <c r="F1035" t="s">
        <v>52</v>
      </c>
      <c r="G1035" t="s">
        <v>1176</v>
      </c>
      <c r="H1035">
        <f>HYPERLINK("https://www.jouwictvacature.nl/solliciteren?job=medior-c-developer-bij-everbinding-in-woerden", "Link")</f>
        <v/>
      </c>
      <c r="I1035" t="s">
        <v>17</v>
      </c>
      <c r="J1035" t="s">
        <v>18</v>
      </c>
      <c r="K1035" t="s">
        <v>1177</v>
      </c>
      <c r="L1035" t="s">
        <v>1178</v>
      </c>
    </row>
    <row r="1036" spans="1:12">
      <c r="A1036" s="4" t="n">
        <v>43132</v>
      </c>
      <c r="B1036" t="s">
        <v>532</v>
      </c>
      <c r="C1036" t="s">
        <v>80</v>
      </c>
      <c r="D1036" t="s">
        <v>245</v>
      </c>
      <c r="E1036" t="s">
        <v>51</v>
      </c>
      <c r="F1036" t="s">
        <v>52</v>
      </c>
      <c r="G1036" t="s">
        <v>1694</v>
      </c>
      <c r="H1036">
        <f>HYPERLINK("https://www.jouwictvacature.nl/solliciteren?job=medior-java-developer-in-amsterdam--spring-nosql-databases-elasticsear", "Link")</f>
        <v/>
      </c>
      <c r="I1036" t="s">
        <v>17</v>
      </c>
      <c r="J1036" t="s">
        <v>18</v>
      </c>
      <c r="K1036" t="s">
        <v>537</v>
      </c>
      <c r="L1036" t="s">
        <v>1695</v>
      </c>
    </row>
    <row hidden="1" r="1037" s="1" spans="1:12">
      <c r="A1037" s="4" t="n">
        <v>43132</v>
      </c>
      <c r="B1037" t="s">
        <v>391</v>
      </c>
      <c r="C1037" t="s">
        <v>392</v>
      </c>
      <c r="D1037" t="s">
        <v>14</v>
      </c>
      <c r="E1037" t="s">
        <v>15</v>
      </c>
      <c r="F1037" t="s">
        <v>16</v>
      </c>
      <c r="G1037" t="s">
        <v>1351</v>
      </c>
      <c r="H1037">
        <f>HYPERLINK("https://www.jouwictvacature.nl/solliciteren?job=technical-lead-c-aspnet-mvc-bij-paralax-", "Link")</f>
        <v/>
      </c>
      <c r="I1037" t="s">
        <v>17</v>
      </c>
      <c r="J1037" t="s">
        <v>18</v>
      </c>
      <c r="K1037" t="s">
        <v>394</v>
      </c>
      <c r="L1037" t="s">
        <v>1352</v>
      </c>
    </row>
    <row hidden="1" r="1038" s="1" spans="1:12">
      <c r="A1038" s="4" t="n">
        <v>43132</v>
      </c>
      <c r="B1038" t="s">
        <v>257</v>
      </c>
      <c r="C1038" t="s">
        <v>13</v>
      </c>
      <c r="D1038" t="s">
        <v>14</v>
      </c>
      <c r="E1038" t="s">
        <v>15</v>
      </c>
      <c r="F1038" t="s">
        <v>52</v>
      </c>
      <c r="G1038" t="s">
        <v>261</v>
      </c>
      <c r="H1038">
        <f>HYPERLINK("https://www.jouwictvacature.nl/solliciteren?job=mediorsenior-net-developer-bij-infent", "Link")</f>
        <v/>
      </c>
      <c r="I1038" t="s">
        <v>17</v>
      </c>
      <c r="J1038" t="s">
        <v>18</v>
      </c>
      <c r="K1038" t="s">
        <v>262</v>
      </c>
      <c r="L1038" t="s">
        <v>263</v>
      </c>
    </row>
    <row hidden="1" r="1039" s="1" spans="1:12">
      <c r="A1039" s="4" t="n">
        <v>43132</v>
      </c>
      <c r="B1039" t="s">
        <v>251</v>
      </c>
      <c r="C1039" t="s">
        <v>80</v>
      </c>
      <c r="D1039" t="s">
        <v>14</v>
      </c>
      <c r="E1039" t="s">
        <v>15</v>
      </c>
      <c r="F1039" t="s">
        <v>16</v>
      </c>
      <c r="G1039" t="s">
        <v>1696</v>
      </c>
      <c r="H1039">
        <f>HYPERLINK("https://www.jouwictvacature.nl/solliciteren?job=lead-c-developer--architect-bij-icatt-inhouse", "Link")</f>
        <v/>
      </c>
      <c r="I1039" t="s">
        <v>17</v>
      </c>
      <c r="J1039" t="s">
        <v>18</v>
      </c>
      <c r="K1039" t="s">
        <v>253</v>
      </c>
      <c r="L1039" t="s">
        <v>1659</v>
      </c>
    </row>
    <row hidden="1" r="1040" s="1" spans="1:12">
      <c r="A1040" s="4" t="n">
        <v>43132</v>
      </c>
      <c r="B1040" t="s">
        <v>104</v>
      </c>
      <c r="C1040" t="s">
        <v>38</v>
      </c>
      <c r="D1040" t="s">
        <v>22</v>
      </c>
      <c r="E1040" t="s">
        <v>15</v>
      </c>
      <c r="F1040" t="s">
        <v>16</v>
      </c>
      <c r="G1040" t="s">
        <v>104</v>
      </c>
      <c r="H1040">
        <f>HYPERLINK("https://www.jouwictvacature.nl/solliciteren?job=microsoft-net-lead-developer-bij-betabit-regio-eindhoven", "Link")</f>
        <v/>
      </c>
      <c r="I1040" t="s">
        <v>17</v>
      </c>
      <c r="J1040" t="s">
        <v>18</v>
      </c>
      <c r="K1040" t="s">
        <v>1172</v>
      </c>
      <c r="L1040" t="s">
        <v>1173</v>
      </c>
    </row>
    <row r="1041" spans="1:12">
      <c r="A1041" s="4" t="n">
        <v>43132</v>
      </c>
      <c r="B1041" t="s">
        <v>532</v>
      </c>
      <c r="C1041" t="s">
        <v>80</v>
      </c>
      <c r="D1041" t="s">
        <v>245</v>
      </c>
      <c r="E1041" t="s">
        <v>51</v>
      </c>
      <c r="F1041" t="s">
        <v>28</v>
      </c>
      <c r="G1041" t="s">
        <v>769</v>
      </c>
      <c r="H1041">
        <f>HYPERLINK("https://www.jouwictvacature.nl/solliciteren?job=senior-machine-learning-developer--java-spring-boot-hibernate-tensorfl", "Link")</f>
        <v/>
      </c>
      <c r="I1041" t="s">
        <v>17</v>
      </c>
      <c r="J1041" t="s">
        <v>18</v>
      </c>
      <c r="K1041" t="s">
        <v>542</v>
      </c>
      <c r="L1041" t="s">
        <v>770</v>
      </c>
    </row>
    <row hidden="1" r="1042" s="1" spans="1:12">
      <c r="A1042" s="4" t="n">
        <v>43132</v>
      </c>
      <c r="B1042" t="s">
        <v>257</v>
      </c>
      <c r="C1042" t="s">
        <v>13</v>
      </c>
      <c r="D1042" t="s">
        <v>14</v>
      </c>
      <c r="E1042" t="s">
        <v>15</v>
      </c>
      <c r="F1042" t="s">
        <v>52</v>
      </c>
      <c r="G1042" t="s">
        <v>264</v>
      </c>
      <c r="H1042">
        <f>HYPERLINK("https://www.jouwictvacature.nl/solliciteren?job=medior-net-developer-met-communicatieve-skills", "Link")</f>
        <v/>
      </c>
      <c r="I1042" t="s">
        <v>17</v>
      </c>
      <c r="J1042" t="s">
        <v>18</v>
      </c>
      <c r="K1042" t="s">
        <v>259</v>
      </c>
      <c r="L1042" t="s">
        <v>265</v>
      </c>
    </row>
    <row hidden="1" r="1043" s="1" spans="1:12">
      <c r="A1043" s="4" t="n">
        <v>43132</v>
      </c>
      <c r="B1043" t="s">
        <v>313</v>
      </c>
      <c r="C1043" t="s">
        <v>62</v>
      </c>
      <c r="D1043" t="s">
        <v>14</v>
      </c>
      <c r="E1043" t="s">
        <v>15</v>
      </c>
      <c r="F1043" t="s">
        <v>16</v>
      </c>
      <c r="G1043" t="s">
        <v>1579</v>
      </c>
      <c r="H1043">
        <f>HYPERLINK("https://www.jouwictvacature.nl/solliciteren?job=development-net-bijbaan-voor-ambitieuze-studenten-hbowo-in-utrecht", "Link")</f>
        <v/>
      </c>
      <c r="I1043" t="s">
        <v>17</v>
      </c>
      <c r="J1043" t="s">
        <v>18</v>
      </c>
      <c r="K1043" t="s">
        <v>1580</v>
      </c>
      <c r="L1043" t="s">
        <v>1581</v>
      </c>
    </row>
    <row hidden="1" r="1044" s="1" spans="1:12">
      <c r="A1044" s="4" t="n">
        <v>43132</v>
      </c>
      <c r="B1044" t="s">
        <v>12</v>
      </c>
      <c r="C1044" t="s">
        <v>13</v>
      </c>
      <c r="D1044" t="s">
        <v>14</v>
      </c>
      <c r="E1044" t="s">
        <v>15</v>
      </c>
      <c r="F1044" t="s">
        <v>16</v>
      </c>
      <c r="G1044" t="s">
        <v>12</v>
      </c>
      <c r="H1044">
        <f>HYPERLINK("https://www.jouwictvacature.nl/solliciteren?job=lead-net-developer-bij-4dotnet", "Link")</f>
        <v/>
      </c>
      <c r="I1044" t="s">
        <v>17</v>
      </c>
      <c r="J1044" t="s">
        <v>18</v>
      </c>
      <c r="K1044" t="s">
        <v>19</v>
      </c>
      <c r="L1044" t="s">
        <v>1392</v>
      </c>
    </row>
    <row r="1045" spans="1:12">
      <c r="A1045" s="4" t="n">
        <v>43132</v>
      </c>
      <c r="B1045" t="s">
        <v>49</v>
      </c>
      <c r="C1045" t="s">
        <v>50</v>
      </c>
      <c r="D1045" t="s">
        <v>22</v>
      </c>
      <c r="E1045" t="s">
        <v>51</v>
      </c>
      <c r="F1045" t="s">
        <v>28</v>
      </c>
      <c r="G1045" t="s">
        <v>58</v>
      </c>
      <c r="H1045">
        <f>HYPERLINK("https://www.jouwictvacature.nl/solliciteren?job=senior-allround-developer-bij-asamco-bv", "Link")</f>
        <v/>
      </c>
      <c r="I1045" t="s">
        <v>17</v>
      </c>
      <c r="J1045" t="s">
        <v>18</v>
      </c>
      <c r="K1045" t="s">
        <v>59</v>
      </c>
      <c r="L1045" t="s">
        <v>60</v>
      </c>
    </row>
    <row r="1046" spans="1:12">
      <c r="A1046" s="4" t="n">
        <v>43132</v>
      </c>
      <c r="B1046" t="s">
        <v>532</v>
      </c>
      <c r="C1046" t="s">
        <v>80</v>
      </c>
      <c r="D1046" t="s">
        <v>245</v>
      </c>
      <c r="E1046" t="s">
        <v>51</v>
      </c>
      <c r="F1046" t="s">
        <v>34</v>
      </c>
      <c r="G1046" t="s">
        <v>1697</v>
      </c>
      <c r="H1046">
        <f>HYPERLINK("https://www.jouwictvacature.nl/solliciteren?job=junior-machine-learning-developer-at-trifork-in-amsterdam-bij-trifork", "Link")</f>
        <v/>
      </c>
      <c r="I1046" t="s">
        <v>17</v>
      </c>
      <c r="J1046" t="s">
        <v>18</v>
      </c>
      <c r="K1046" t="s">
        <v>542</v>
      </c>
      <c r="L1046" t="s">
        <v>1698</v>
      </c>
    </row>
    <row hidden="1" r="1047" s="1" spans="1:12">
      <c r="A1047" s="4" t="n">
        <v>43132</v>
      </c>
      <c r="B1047" t="s">
        <v>725</v>
      </c>
      <c r="C1047" t="s">
        <v>726</v>
      </c>
      <c r="D1047" t="s">
        <v>22</v>
      </c>
      <c r="E1047" t="s">
        <v>15</v>
      </c>
      <c r="F1047" t="s">
        <v>28</v>
      </c>
      <c r="G1047" t="s">
        <v>1699</v>
      </c>
      <c r="H1047">
        <f>HYPERLINK("https://www.jouwictvacature.nl/solliciteren?job=senior-laravel-developer-bij-flashpoint-2", "Link")</f>
        <v/>
      </c>
      <c r="I1047" t="s">
        <v>17</v>
      </c>
      <c r="J1047" t="s">
        <v>18</v>
      </c>
      <c r="K1047" t="s">
        <v>1700</v>
      </c>
      <c r="L1047" t="s">
        <v>1701</v>
      </c>
    </row>
    <row hidden="1" r="1048" s="1" spans="1:12">
      <c r="A1048" s="4" t="n">
        <v>43129</v>
      </c>
      <c r="B1048" t="s">
        <v>1702</v>
      </c>
      <c r="C1048" t="s">
        <v>309</v>
      </c>
      <c r="D1048" t="s">
        <v>245</v>
      </c>
      <c r="E1048" t="s">
        <v>15</v>
      </c>
      <c r="F1048" t="s">
        <v>16</v>
      </c>
      <c r="G1048" t="s">
        <v>1702</v>
      </c>
      <c r="H1048">
        <f>HYPERLINK("https://www.jouwictvacature.nl/solliciteren?job=junior-front-end-developer-bij-uitgeverij-deviant-bij-uitgeverij-devia", "Link")</f>
        <v/>
      </c>
      <c r="I1048" t="s">
        <v>17</v>
      </c>
      <c r="J1048" t="s">
        <v>18</v>
      </c>
      <c r="K1048" t="s">
        <v>1703</v>
      </c>
      <c r="L1048" t="s">
        <v>1704</v>
      </c>
    </row>
    <row hidden="1" r="1049" s="1" spans="1:12">
      <c r="A1049" s="4" t="n">
        <v>43132</v>
      </c>
      <c r="B1049" t="s">
        <v>634</v>
      </c>
      <c r="C1049" t="s">
        <v>635</v>
      </c>
      <c r="D1049" t="s">
        <v>22</v>
      </c>
      <c r="E1049" t="s">
        <v>15</v>
      </c>
      <c r="F1049" t="s">
        <v>52</v>
      </c>
      <c r="G1049" t="s">
        <v>1407</v>
      </c>
      <c r="H1049">
        <f>HYPERLINK("https://www.jouwictvacature.nl/solliciteren?job=medior-wordpress-developer-bij-bureau-vet", "Link")</f>
        <v/>
      </c>
      <c r="I1049" t="s">
        <v>17</v>
      </c>
      <c r="J1049" t="s">
        <v>18</v>
      </c>
      <c r="K1049" t="s">
        <v>1408</v>
      </c>
      <c r="L1049" t="s">
        <v>1409</v>
      </c>
    </row>
    <row hidden="1" r="1050" s="1" spans="1:12">
      <c r="A1050" s="4" t="n">
        <v>43130</v>
      </c>
      <c r="B1050" t="s">
        <v>1702</v>
      </c>
      <c r="C1050" t="s">
        <v>309</v>
      </c>
      <c r="D1050" t="s">
        <v>245</v>
      </c>
      <c r="E1050" t="s">
        <v>15</v>
      </c>
      <c r="F1050" t="s">
        <v>16</v>
      </c>
      <c r="G1050" t="s">
        <v>1702</v>
      </c>
      <c r="H1050">
        <f>HYPERLINK("https://www.jouwictvacature.nl/solliciteren?job=junior-front-end-developer-bij-uitgeverij-deviant-bij-uitgeverij-devia", "Link")</f>
        <v/>
      </c>
      <c r="I1050" t="s">
        <v>17</v>
      </c>
      <c r="J1050" t="s">
        <v>18</v>
      </c>
      <c r="K1050" t="s">
        <v>1703</v>
      </c>
      <c r="L1050" t="s">
        <v>1704</v>
      </c>
    </row>
    <row hidden="1" r="1051" s="1" spans="1:12">
      <c r="A1051" s="4" t="n">
        <v>43132</v>
      </c>
      <c r="B1051" t="s">
        <v>354</v>
      </c>
      <c r="C1051" t="s">
        <v>50</v>
      </c>
      <c r="D1051" t="s">
        <v>14</v>
      </c>
      <c r="E1051" t="s">
        <v>15</v>
      </c>
      <c r="F1051" t="s">
        <v>16</v>
      </c>
      <c r="G1051" t="s">
        <v>355</v>
      </c>
      <c r="H1051">
        <f>HYPERLINK("https://www.jouwictvacature.nl/solliciteren?job=lead-symfony-developer", "Link")</f>
        <v/>
      </c>
      <c r="I1051" t="s">
        <v>17</v>
      </c>
      <c r="J1051" t="s">
        <v>18</v>
      </c>
      <c r="K1051" t="s">
        <v>356</v>
      </c>
      <c r="L1051" t="s">
        <v>357</v>
      </c>
    </row>
    <row hidden="1" r="1052" s="1" spans="1:12">
      <c r="A1052" s="4" t="n">
        <v>43132</v>
      </c>
      <c r="B1052" t="s">
        <v>1705</v>
      </c>
      <c r="C1052" t="s">
        <v>694</v>
      </c>
      <c r="D1052" t="s">
        <v>22</v>
      </c>
      <c r="E1052" t="s">
        <v>15</v>
      </c>
      <c r="F1052" t="s">
        <v>16</v>
      </c>
      <c r="G1052" t="s">
        <v>1705</v>
      </c>
      <c r="H1052">
        <f>HYPERLINK("https://www.jouwictvacature.nl/solliciteren?job=senior-php-developer-bij-digitaal-kantoor-bij-digitaal-kantoor", "Link")</f>
        <v/>
      </c>
      <c r="I1052" t="s">
        <v>17</v>
      </c>
      <c r="J1052" t="s">
        <v>18</v>
      </c>
      <c r="K1052" t="s">
        <v>1706</v>
      </c>
      <c r="L1052" t="s">
        <v>1707</v>
      </c>
    </row>
    <row hidden="1" r="1053" s="1" spans="1:12">
      <c r="A1053" s="4" t="n">
        <v>43132</v>
      </c>
      <c r="B1053" t="s">
        <v>1360</v>
      </c>
      <c r="C1053" t="s">
        <v>1361</v>
      </c>
      <c r="D1053" t="s">
        <v>22</v>
      </c>
      <c r="E1053" t="s">
        <v>15</v>
      </c>
      <c r="F1053" t="s">
        <v>34</v>
      </c>
      <c r="G1053" t="s">
        <v>1362</v>
      </c>
      <c r="H1053">
        <f>HYPERLINK("https://www.jouwictvacature.nl/solliciteren?job=back-end-developer-bij-deepdata", "Link")</f>
        <v/>
      </c>
      <c r="I1053" t="s">
        <v>17</v>
      </c>
      <c r="J1053" t="s">
        <v>18</v>
      </c>
      <c r="K1053" t="s">
        <v>1363</v>
      </c>
      <c r="L1053" t="s">
        <v>1364</v>
      </c>
    </row>
    <row hidden="1" r="1054" s="1" spans="1:12">
      <c r="A1054" s="4" t="n">
        <v>43132</v>
      </c>
      <c r="B1054" t="s">
        <v>1702</v>
      </c>
      <c r="C1054" t="s">
        <v>309</v>
      </c>
      <c r="D1054" t="s">
        <v>245</v>
      </c>
      <c r="E1054" t="s">
        <v>15</v>
      </c>
      <c r="F1054" t="s">
        <v>16</v>
      </c>
      <c r="G1054" t="s">
        <v>1702</v>
      </c>
      <c r="H1054">
        <f>HYPERLINK("https://www.jouwictvacature.nl/solliciteren?job=junior-front-end-developer-bij-uitgeverij-deviant-bij-uitgeverij-devia", "Link")</f>
        <v/>
      </c>
      <c r="I1054" t="s">
        <v>17</v>
      </c>
      <c r="J1054" t="s">
        <v>18</v>
      </c>
      <c r="K1054" t="s">
        <v>1703</v>
      </c>
      <c r="L1054" t="s">
        <v>1704</v>
      </c>
    </row>
    <row hidden="1" r="1055" s="1" spans="1:12">
      <c r="A1055" s="4" t="n">
        <v>43132</v>
      </c>
      <c r="B1055" t="s">
        <v>1556</v>
      </c>
      <c r="C1055" t="s">
        <v>1557</v>
      </c>
      <c r="D1055" t="s">
        <v>14</v>
      </c>
      <c r="E1055" t="s">
        <v>15</v>
      </c>
      <c r="F1055" t="s">
        <v>16</v>
      </c>
      <c r="G1055" t="s">
        <v>1556</v>
      </c>
      <c r="H1055">
        <f>HYPERLINK("https://www.jouwictvacature.nl/solliciteren?job=software-tester-bij-minox", "Link")</f>
        <v/>
      </c>
      <c r="I1055" t="s">
        <v>17</v>
      </c>
      <c r="J1055" t="s">
        <v>18</v>
      </c>
      <c r="K1055" t="s">
        <v>1708</v>
      </c>
      <c r="L1055" t="s">
        <v>1709</v>
      </c>
    </row>
    <row hidden="1" r="1056" s="1" spans="1:12">
      <c r="A1056" s="4" t="n">
        <v>43132</v>
      </c>
      <c r="B1056" t="s">
        <v>49</v>
      </c>
      <c r="C1056" t="s">
        <v>50</v>
      </c>
      <c r="D1056" t="s">
        <v>22</v>
      </c>
      <c r="E1056" t="s">
        <v>15</v>
      </c>
      <c r="F1056" t="s">
        <v>28</v>
      </c>
      <c r="G1056" t="s">
        <v>1710</v>
      </c>
      <c r="H1056">
        <f>HYPERLINK("https://www.jouwictvacature.nl/solliciteren?job=medior-webdeveloper-", "Link")</f>
        <v/>
      </c>
      <c r="I1056" t="s">
        <v>17</v>
      </c>
      <c r="J1056" t="s">
        <v>18</v>
      </c>
      <c r="K1056" t="s">
        <v>1247</v>
      </c>
      <c r="L1056" t="s">
        <v>1711</v>
      </c>
    </row>
    <row hidden="1" r="1057" s="1" spans="1:12">
      <c r="A1057" s="4" t="n">
        <v>43129</v>
      </c>
      <c r="B1057" t="s">
        <v>546</v>
      </c>
      <c r="C1057" t="s">
        <v>547</v>
      </c>
      <c r="D1057" t="s">
        <v>245</v>
      </c>
      <c r="E1057" t="s">
        <v>15</v>
      </c>
      <c r="F1057" t="s">
        <v>52</v>
      </c>
      <c r="G1057" t="s">
        <v>665</v>
      </c>
      <c r="H1057">
        <f>HYPERLINK("https://www.jouwictvacature.nl/solliciteren?job=medior-front-end-developer-bij-u-lab", "Link")</f>
        <v/>
      </c>
      <c r="I1057" t="s">
        <v>17</v>
      </c>
      <c r="J1057" t="s">
        <v>18</v>
      </c>
      <c r="K1057" t="s">
        <v>549</v>
      </c>
      <c r="L1057" t="s">
        <v>1712</v>
      </c>
    </row>
    <row hidden="1" r="1058" s="1" spans="1:12">
      <c r="A1058" s="4" t="n">
        <v>43132</v>
      </c>
      <c r="B1058" t="s">
        <v>26</v>
      </c>
      <c r="C1058" t="s">
        <v>660</v>
      </c>
      <c r="D1058" t="s">
        <v>22</v>
      </c>
      <c r="E1058" t="s">
        <v>15</v>
      </c>
      <c r="F1058" t="s">
        <v>28</v>
      </c>
      <c r="G1058" t="s">
        <v>548</v>
      </c>
      <c r="H1058">
        <f>HYPERLINK("https://www.jouwictvacature.nl/solliciteren?job=senior-front-end-developer-bij-aan-zee-communicatie", "Link")</f>
        <v/>
      </c>
      <c r="I1058" t="s">
        <v>17</v>
      </c>
      <c r="J1058" t="s">
        <v>18</v>
      </c>
      <c r="K1058" t="s">
        <v>662</v>
      </c>
      <c r="L1058" t="s">
        <v>1713</v>
      </c>
    </row>
    <row hidden="1" r="1059" s="1" spans="1:12">
      <c r="A1059" s="4" t="n">
        <v>43132</v>
      </c>
      <c r="B1059" t="s">
        <v>37</v>
      </c>
      <c r="C1059" t="s">
        <v>38</v>
      </c>
      <c r="D1059" t="s">
        <v>22</v>
      </c>
      <c r="E1059" t="s">
        <v>15</v>
      </c>
      <c r="F1059" t="s">
        <v>28</v>
      </c>
      <c r="G1059" t="s">
        <v>996</v>
      </c>
      <c r="H1059">
        <f>HYPERLINK("https://www.jouwictvacature.nl/solliciteren?job=senior-javascript-developer-bij-advitrae", "Link")</f>
        <v/>
      </c>
      <c r="I1059" t="s">
        <v>17</v>
      </c>
      <c r="J1059" t="s">
        <v>18</v>
      </c>
      <c r="K1059" t="s">
        <v>40</v>
      </c>
      <c r="L1059" t="s">
        <v>997</v>
      </c>
    </row>
    <row hidden="1" r="1060" s="1" spans="1:12">
      <c r="A1060" s="4" t="n">
        <v>43132</v>
      </c>
      <c r="B1060" t="s">
        <v>1036</v>
      </c>
      <c r="C1060" t="s">
        <v>1037</v>
      </c>
      <c r="D1060" t="s">
        <v>14</v>
      </c>
      <c r="E1060" t="s">
        <v>15</v>
      </c>
      <c r="F1060" t="s">
        <v>34</v>
      </c>
      <c r="G1060" t="s">
        <v>1714</v>
      </c>
      <c r="H1060">
        <f>HYPERLINK("https://www.jouwictvacature.nl/solliciteren?job=junior-nodejs-developer-bij-onsweb", "Link")</f>
        <v/>
      </c>
      <c r="I1060" t="s">
        <v>17</v>
      </c>
      <c r="J1060" t="s">
        <v>18</v>
      </c>
      <c r="K1060" t="s">
        <v>1039</v>
      </c>
      <c r="L1060" t="s">
        <v>1715</v>
      </c>
    </row>
    <row hidden="1" r="1061" s="1" spans="1:12">
      <c r="A1061" s="4" t="n">
        <v>43129</v>
      </c>
      <c r="B1061" t="s">
        <v>553</v>
      </c>
      <c r="C1061" t="s">
        <v>554</v>
      </c>
      <c r="D1061" t="s">
        <v>245</v>
      </c>
      <c r="E1061" t="s">
        <v>15</v>
      </c>
      <c r="F1061" t="s">
        <v>16</v>
      </c>
      <c r="G1061" t="s">
        <v>553</v>
      </c>
      <c r="H1061">
        <f>HYPERLINK("https://www.jouwictvacature.nl/solliciteren?job=senior-web-developer-bij-ultraware-", "Link")</f>
        <v/>
      </c>
      <c r="I1061" t="s">
        <v>17</v>
      </c>
      <c r="J1061" t="s">
        <v>18</v>
      </c>
      <c r="K1061" t="s">
        <v>557</v>
      </c>
      <c r="L1061" t="s">
        <v>558</v>
      </c>
    </row>
    <row hidden="1" r="1062" s="1" spans="1:12">
      <c r="A1062" s="4" t="n">
        <v>43130</v>
      </c>
      <c r="B1062" t="s">
        <v>553</v>
      </c>
      <c r="C1062" t="s">
        <v>554</v>
      </c>
      <c r="D1062" t="s">
        <v>245</v>
      </c>
      <c r="E1062" t="s">
        <v>15</v>
      </c>
      <c r="F1062" t="s">
        <v>16</v>
      </c>
      <c r="G1062" t="s">
        <v>553</v>
      </c>
      <c r="H1062">
        <f>HYPERLINK("https://www.jouwictvacature.nl/solliciteren?job=senior-web-architect-bij-ultraware", "Link")</f>
        <v/>
      </c>
      <c r="I1062" t="s">
        <v>17</v>
      </c>
      <c r="J1062" t="s">
        <v>18</v>
      </c>
      <c r="K1062" t="s">
        <v>555</v>
      </c>
      <c r="L1062" t="s">
        <v>556</v>
      </c>
    </row>
    <row hidden="1" r="1063" s="1" spans="1:12">
      <c r="A1063" s="4" t="n">
        <v>43132</v>
      </c>
      <c r="B1063" t="s">
        <v>823</v>
      </c>
      <c r="C1063" t="s">
        <v>806</v>
      </c>
      <c r="D1063" t="s">
        <v>22</v>
      </c>
      <c r="E1063" t="s">
        <v>15</v>
      </c>
      <c r="F1063" t="s">
        <v>16</v>
      </c>
      <c r="G1063" t="s">
        <v>823</v>
      </c>
      <c r="H1063">
        <f>HYPERLINK("https://www.jouwictvacature.nl/solliciteren?job=medior-javascript-developer-bij-appmachine-", "Link")</f>
        <v/>
      </c>
      <c r="I1063" t="s">
        <v>17</v>
      </c>
      <c r="J1063" t="s">
        <v>18</v>
      </c>
      <c r="K1063" t="s">
        <v>824</v>
      </c>
      <c r="L1063" t="s">
        <v>1716</v>
      </c>
    </row>
    <row hidden="1" r="1064" s="1" spans="1:12">
      <c r="A1064" s="4" t="n">
        <v>43132</v>
      </c>
      <c r="B1064" t="s">
        <v>553</v>
      </c>
      <c r="C1064" t="s">
        <v>554</v>
      </c>
      <c r="D1064" t="s">
        <v>245</v>
      </c>
      <c r="E1064" t="s">
        <v>15</v>
      </c>
      <c r="F1064" t="s">
        <v>16</v>
      </c>
      <c r="G1064" t="s">
        <v>553</v>
      </c>
      <c r="H1064">
        <f>HYPERLINK("https://www.jouwictvacature.nl/solliciteren?job=webdeveloper-bij-ultraware-in-assen", "Link")</f>
        <v/>
      </c>
      <c r="I1064" t="s">
        <v>17</v>
      </c>
      <c r="J1064" t="s">
        <v>18</v>
      </c>
      <c r="K1064" t="s">
        <v>559</v>
      </c>
      <c r="L1064" t="s">
        <v>560</v>
      </c>
    </row>
    <row hidden="1" r="1065" s="1" spans="1:12">
      <c r="A1065" s="4" t="n">
        <v>43132</v>
      </c>
      <c r="B1065" t="s">
        <v>237</v>
      </c>
      <c r="C1065" t="s">
        <v>93</v>
      </c>
      <c r="D1065" t="s">
        <v>22</v>
      </c>
      <c r="E1065" t="s">
        <v>15</v>
      </c>
      <c r="F1065" t="s">
        <v>28</v>
      </c>
      <c r="G1065" t="s">
        <v>1337</v>
      </c>
      <c r="H1065">
        <f>HYPERLINK("https://www.jouwictvacature.nl/solliciteren?job=senior-java-developer-bij-hybrit-2", "Link")</f>
        <v/>
      </c>
      <c r="I1065" t="s">
        <v>17</v>
      </c>
      <c r="J1065" t="s">
        <v>18</v>
      </c>
      <c r="K1065" t="s">
        <v>1189</v>
      </c>
      <c r="L1065" t="s">
        <v>1338</v>
      </c>
    </row>
    <row hidden="1" r="1066" s="1" spans="1:12">
      <c r="A1066" s="4" t="n">
        <v>43132</v>
      </c>
      <c r="B1066" t="s">
        <v>115</v>
      </c>
      <c r="C1066" t="s">
        <v>116</v>
      </c>
      <c r="D1066" t="s">
        <v>22</v>
      </c>
      <c r="E1066" t="s">
        <v>15</v>
      </c>
      <c r="F1066" t="s">
        <v>16</v>
      </c>
      <c r="G1066" t="s">
        <v>117</v>
      </c>
      <c r="H1066">
        <f>HYPERLINK("https://www.jouwictvacature.nl/solliciteren?job=support-medewerker-bij-bottomline-in-vught-bij-bottomline", "Link")</f>
        <v/>
      </c>
      <c r="I1066" t="s">
        <v>17</v>
      </c>
      <c r="J1066" t="s">
        <v>18</v>
      </c>
      <c r="K1066" t="s">
        <v>118</v>
      </c>
      <c r="L1066" t="s">
        <v>119</v>
      </c>
    </row>
    <row hidden="1" r="1067" s="1" spans="1:12">
      <c r="A1067" s="4" t="n">
        <v>43132</v>
      </c>
      <c r="B1067" t="s">
        <v>71</v>
      </c>
      <c r="C1067" t="s">
        <v>80</v>
      </c>
      <c r="D1067" t="s">
        <v>22</v>
      </c>
      <c r="E1067" t="s">
        <v>15</v>
      </c>
      <c r="F1067" t="s">
        <v>52</v>
      </c>
      <c r="G1067" t="s">
        <v>763</v>
      </c>
      <c r="H1067">
        <f>HYPERLINK("https://www.jouwictvacature.nl/solliciteren?job=medior-agile-test-specialist-bij-bartosz-bij-bartosz-amsterdam", "Link")</f>
        <v/>
      </c>
      <c r="I1067" t="s">
        <v>17</v>
      </c>
      <c r="J1067" t="s">
        <v>18</v>
      </c>
      <c r="K1067" t="s">
        <v>91</v>
      </c>
      <c r="L1067" t="s">
        <v>764</v>
      </c>
    </row>
    <row hidden="1" r="1068" s="1" spans="1:12">
      <c r="A1068" s="4" t="n">
        <v>43132</v>
      </c>
      <c r="B1068" t="s">
        <v>553</v>
      </c>
      <c r="C1068" t="s">
        <v>554</v>
      </c>
      <c r="D1068" t="s">
        <v>245</v>
      </c>
      <c r="E1068" t="s">
        <v>15</v>
      </c>
      <c r="F1068" t="s">
        <v>16</v>
      </c>
      <c r="G1068" t="s">
        <v>553</v>
      </c>
      <c r="H1068">
        <f>HYPERLINK("https://www.jouwictvacature.nl/solliciteren?job=senior-web-developer-bij-ultraware-", "Link")</f>
        <v/>
      </c>
      <c r="I1068" t="s">
        <v>17</v>
      </c>
      <c r="J1068" t="s">
        <v>18</v>
      </c>
      <c r="K1068" t="s">
        <v>557</v>
      </c>
      <c r="L1068" t="s">
        <v>558</v>
      </c>
    </row>
    <row hidden="1" r="1069" s="1" spans="1:12">
      <c r="A1069" s="4" t="n">
        <v>43132</v>
      </c>
      <c r="B1069" t="s">
        <v>71</v>
      </c>
      <c r="C1069" t="s">
        <v>76</v>
      </c>
      <c r="D1069" t="s">
        <v>22</v>
      </c>
      <c r="E1069" t="s">
        <v>15</v>
      </c>
      <c r="F1069" t="s">
        <v>52</v>
      </c>
      <c r="G1069" t="s">
        <v>1717</v>
      </c>
      <c r="H1069">
        <f>HYPERLINK("https://www.jouwictvacature.nl/solliciteren?job=medior-feedback-engineer-bij-bartosz-bij-bartosz-zwolle-2", "Link")</f>
        <v/>
      </c>
      <c r="I1069" t="s">
        <v>17</v>
      </c>
      <c r="J1069" t="s">
        <v>18</v>
      </c>
      <c r="K1069" t="s">
        <v>78</v>
      </c>
      <c r="L1069" t="s">
        <v>1718</v>
      </c>
    </row>
    <row hidden="1" r="1070" s="1" spans="1:12">
      <c r="A1070" s="4" t="n">
        <v>43132</v>
      </c>
      <c r="B1070" t="s">
        <v>71</v>
      </c>
      <c r="C1070" t="s">
        <v>80</v>
      </c>
      <c r="D1070" t="s">
        <v>22</v>
      </c>
      <c r="E1070" t="s">
        <v>15</v>
      </c>
      <c r="F1070" t="s">
        <v>52</v>
      </c>
      <c r="G1070" t="s">
        <v>1634</v>
      </c>
      <c r="H1070">
        <f>HYPERLINK("https://www.jouwictvacature.nl/solliciteren?job=medior-feedback-engineer-bij-bartosz-bij-bartosz-amsterdam", "Link")</f>
        <v/>
      </c>
      <c r="I1070" t="s">
        <v>17</v>
      </c>
      <c r="J1070" t="s">
        <v>18</v>
      </c>
      <c r="K1070" t="s">
        <v>78</v>
      </c>
      <c r="L1070" t="s">
        <v>1635</v>
      </c>
    </row>
    <row hidden="1" r="1071" s="1" spans="1:12">
      <c r="A1071" s="4" t="n">
        <v>43129</v>
      </c>
      <c r="B1071" t="s">
        <v>1145</v>
      </c>
      <c r="C1071" t="s">
        <v>1146</v>
      </c>
      <c r="D1071" t="s">
        <v>245</v>
      </c>
      <c r="E1071" t="s">
        <v>15</v>
      </c>
      <c r="F1071" t="s">
        <v>16</v>
      </c>
      <c r="G1071" t="s">
        <v>1147</v>
      </c>
      <c r="H1071">
        <f>HYPERLINK("https://www.jouwictvacature.nl/solliciteren?job=full-stack-php-programmeur", "Link")</f>
        <v/>
      </c>
      <c r="I1071" t="s">
        <v>17</v>
      </c>
      <c r="J1071" t="s">
        <v>18</v>
      </c>
      <c r="K1071" t="s">
        <v>1148</v>
      </c>
      <c r="L1071" t="s">
        <v>1149</v>
      </c>
    </row>
    <row hidden="1" r="1072" s="1" spans="1:12">
      <c r="A1072" s="4" t="n">
        <v>43132</v>
      </c>
      <c r="B1072" t="s">
        <v>174</v>
      </c>
      <c r="C1072" t="s">
        <v>93</v>
      </c>
      <c r="D1072" t="s">
        <v>22</v>
      </c>
      <c r="E1072" t="s">
        <v>15</v>
      </c>
      <c r="F1072" t="s">
        <v>28</v>
      </c>
      <c r="G1072" t="s">
        <v>1719</v>
      </c>
      <c r="H1072">
        <f>HYPERLINK("https://www.jouwictvacature.nl/solliciteren?job=senior-java-developer--spring-grails-wicket-javascript-scala-bij-dpa-g-2", "Link")</f>
        <v/>
      </c>
      <c r="I1072" t="s">
        <v>17</v>
      </c>
      <c r="J1072" t="s">
        <v>18</v>
      </c>
      <c r="K1072" t="s">
        <v>176</v>
      </c>
      <c r="L1072" t="s">
        <v>1720</v>
      </c>
    </row>
    <row hidden="1" r="1073" s="1" spans="1:12">
      <c r="A1073" s="4" t="n">
        <v>43132</v>
      </c>
      <c r="B1073" t="s">
        <v>71</v>
      </c>
      <c r="C1073" t="s">
        <v>76</v>
      </c>
      <c r="D1073" t="s">
        <v>22</v>
      </c>
      <c r="E1073" t="s">
        <v>15</v>
      </c>
      <c r="F1073" t="s">
        <v>34</v>
      </c>
      <c r="G1073" t="s">
        <v>1425</v>
      </c>
      <c r="H1073">
        <f>HYPERLINK("https://www.jouwictvacature.nl/solliciteren?job=junior-agile-test-specialist-bij-bartosz-bij-bartosz-zwolle", "Link")</f>
        <v/>
      </c>
      <c r="I1073" t="s">
        <v>17</v>
      </c>
      <c r="J1073" t="s">
        <v>18</v>
      </c>
      <c r="K1073" t="s">
        <v>91</v>
      </c>
      <c r="L1073" t="s">
        <v>1721</v>
      </c>
    </row>
    <row hidden="1" r="1074" s="1" spans="1:12">
      <c r="A1074" s="4" t="n">
        <v>43132</v>
      </c>
      <c r="B1074" t="s">
        <v>237</v>
      </c>
      <c r="C1074" t="s">
        <v>93</v>
      </c>
      <c r="D1074" t="s">
        <v>22</v>
      </c>
      <c r="E1074" t="s">
        <v>15</v>
      </c>
      <c r="F1074" t="s">
        <v>34</v>
      </c>
      <c r="G1074" t="s">
        <v>1722</v>
      </c>
      <c r="H1074">
        <f>HYPERLINK("https://www.jouwictvacature.nl/solliciteren?job=junior-integratie-specialist--mulesoft-oracle-soa-suite-wso2-websphere-2", "Link")</f>
        <v/>
      </c>
      <c r="I1074" t="s">
        <v>17</v>
      </c>
      <c r="J1074" t="s">
        <v>18</v>
      </c>
      <c r="K1074" t="s">
        <v>1541</v>
      </c>
      <c r="L1074" t="s">
        <v>1723</v>
      </c>
    </row>
    <row r="1075" spans="1:12">
      <c r="A1075" s="4" t="n">
        <v>43132</v>
      </c>
      <c r="B1075" t="s">
        <v>1724</v>
      </c>
      <c r="C1075" t="s">
        <v>1725</v>
      </c>
      <c r="D1075" t="s">
        <v>245</v>
      </c>
      <c r="E1075" t="s">
        <v>51</v>
      </c>
      <c r="F1075" t="s">
        <v>16</v>
      </c>
      <c r="G1075" t="s">
        <v>1726</v>
      </c>
      <c r="H1075">
        <f>HYPERLINK("https://www.jouwictvacature.nl/solliciteren?job=technical-consultant-at-usoft-bij-usoft", "Link")</f>
        <v/>
      </c>
      <c r="I1075" t="s">
        <v>17</v>
      </c>
      <c r="J1075" t="s">
        <v>18</v>
      </c>
      <c r="K1075" t="s">
        <v>1727</v>
      </c>
      <c r="L1075" t="s">
        <v>1728</v>
      </c>
    </row>
    <row hidden="1" r="1076" s="1" spans="1:12">
      <c r="A1076" s="4" t="n">
        <v>43129</v>
      </c>
      <c r="B1076" t="s">
        <v>985</v>
      </c>
      <c r="C1076" t="s">
        <v>986</v>
      </c>
      <c r="D1076" t="s">
        <v>245</v>
      </c>
      <c r="E1076" t="s">
        <v>15</v>
      </c>
      <c r="F1076" t="s">
        <v>16</v>
      </c>
      <c r="G1076" t="s">
        <v>987</v>
      </c>
      <c r="H1076">
        <f>HYPERLINK("https://www.jouwictvacature.nl/solliciteren?job=back-end-mooier-beter-sneller", "Link")</f>
        <v/>
      </c>
      <c r="I1076" t="s">
        <v>17</v>
      </c>
      <c r="J1076" t="s">
        <v>18</v>
      </c>
      <c r="K1076" t="s">
        <v>988</v>
      </c>
      <c r="L1076" t="s">
        <v>989</v>
      </c>
    </row>
    <row hidden="1" r="1077" s="1" spans="1:12">
      <c r="A1077" s="4" t="n">
        <v>43129</v>
      </c>
      <c r="B1077" t="s">
        <v>985</v>
      </c>
      <c r="C1077" t="s">
        <v>986</v>
      </c>
      <c r="D1077" t="s">
        <v>245</v>
      </c>
      <c r="E1077" t="s">
        <v>15</v>
      </c>
      <c r="F1077" t="s">
        <v>16</v>
      </c>
      <c r="G1077" t="s">
        <v>987</v>
      </c>
      <c r="H1077">
        <f>HYPERLINK("https://www.jouwictvacature.nl/solliciteren?job=back-end-mooier-beter-sneller", "Link")</f>
        <v/>
      </c>
      <c r="I1077" t="s">
        <v>17</v>
      </c>
      <c r="J1077" t="s">
        <v>18</v>
      </c>
      <c r="K1077" t="s">
        <v>988</v>
      </c>
      <c r="L1077" t="s">
        <v>989</v>
      </c>
    </row>
    <row hidden="1" r="1078" s="1" spans="1:12">
      <c r="A1078" s="4" t="n">
        <v>43130</v>
      </c>
      <c r="B1078" t="s">
        <v>985</v>
      </c>
      <c r="C1078" t="s">
        <v>986</v>
      </c>
      <c r="D1078" t="s">
        <v>245</v>
      </c>
      <c r="E1078" t="s">
        <v>15</v>
      </c>
      <c r="F1078" t="s">
        <v>34</v>
      </c>
      <c r="G1078" t="s">
        <v>1729</v>
      </c>
      <c r="H1078">
        <f>HYPERLINK("https://www.jouwictvacature.nl/solliciteren?job=junior-net-developer-bij-utilize-voor-32-36-of-40-uur-per-week", "Link")</f>
        <v/>
      </c>
      <c r="I1078" t="s">
        <v>17</v>
      </c>
      <c r="J1078" t="s">
        <v>18</v>
      </c>
      <c r="K1078" t="s">
        <v>988</v>
      </c>
      <c r="L1078" t="s">
        <v>1730</v>
      </c>
    </row>
    <row hidden="1" r="1079" s="1" spans="1:12">
      <c r="A1079" s="4" t="n">
        <v>43129</v>
      </c>
      <c r="B1079" t="s">
        <v>742</v>
      </c>
      <c r="C1079" t="s">
        <v>62</v>
      </c>
      <c r="D1079" t="s">
        <v>245</v>
      </c>
      <c r="E1079" t="s">
        <v>15</v>
      </c>
      <c r="F1079" t="s">
        <v>16</v>
      </c>
      <c r="G1079" t="s">
        <v>742</v>
      </c>
      <c r="H1079">
        <f>HYPERLINK("https://www.jouwictvacature.nl/solliciteren?job=front-end-developer-bij-valueblue", "Link")</f>
        <v/>
      </c>
      <c r="I1079" t="s">
        <v>17</v>
      </c>
      <c r="J1079" t="s">
        <v>18</v>
      </c>
      <c r="K1079" t="s">
        <v>743</v>
      </c>
      <c r="L1079" t="s">
        <v>957</v>
      </c>
    </row>
    <row hidden="1" r="1080" s="1" spans="1:12">
      <c r="A1080" s="4" t="n">
        <v>43132</v>
      </c>
      <c r="B1080" t="s">
        <v>742</v>
      </c>
      <c r="C1080" t="s">
        <v>62</v>
      </c>
      <c r="D1080" t="s">
        <v>245</v>
      </c>
      <c r="E1080" t="s">
        <v>15</v>
      </c>
      <c r="F1080" t="s">
        <v>16</v>
      </c>
      <c r="G1080" t="s">
        <v>742</v>
      </c>
      <c r="H1080">
        <f>HYPERLINK("https://www.jouwictvacature.nl/solliciteren?job=front-end-developer-bij-valueblue", "Link")</f>
        <v/>
      </c>
      <c r="I1080" t="s">
        <v>17</v>
      </c>
      <c r="J1080" t="s">
        <v>18</v>
      </c>
      <c r="K1080" t="s">
        <v>743</v>
      </c>
      <c r="L1080" t="s">
        <v>957</v>
      </c>
    </row>
    <row hidden="1" r="1081" s="1" spans="1:12">
      <c r="A1081" s="4" t="n">
        <v>43129</v>
      </c>
      <c r="B1081" t="s">
        <v>1731</v>
      </c>
      <c r="C1081" t="s">
        <v>93</v>
      </c>
      <c r="D1081" t="s">
        <v>245</v>
      </c>
      <c r="E1081" t="s">
        <v>15</v>
      </c>
      <c r="F1081" t="s">
        <v>52</v>
      </c>
      <c r="G1081" t="s">
        <v>1732</v>
      </c>
      <c r="H1081">
        <f>HYPERLINK("https://www.jouwictvacature.nl/solliciteren?job=medior-symfony-developer-bij-vdminl", "Link")</f>
        <v/>
      </c>
      <c r="I1081" t="s">
        <v>17</v>
      </c>
      <c r="J1081" t="s">
        <v>18</v>
      </c>
      <c r="K1081" t="s">
        <v>1733</v>
      </c>
      <c r="L1081" t="s">
        <v>1734</v>
      </c>
    </row>
    <row hidden="1" r="1082" s="1" spans="1:12">
      <c r="A1082" s="4" t="n">
        <v>43132</v>
      </c>
      <c r="B1082" t="s">
        <v>313</v>
      </c>
      <c r="C1082" t="s">
        <v>62</v>
      </c>
      <c r="D1082" t="s">
        <v>14</v>
      </c>
      <c r="E1082" t="s">
        <v>15</v>
      </c>
      <c r="F1082" t="s">
        <v>16</v>
      </c>
      <c r="G1082" t="s">
        <v>1295</v>
      </c>
      <c r="H1082">
        <f>HYPERLINK("https://www.jouwictvacature.nl/solliciteren?job=senior-net-developer--werken-voor-klanten-als-kpn-ns-sanoma-media-en-e", "Link")</f>
        <v/>
      </c>
      <c r="I1082" t="s">
        <v>17</v>
      </c>
      <c r="J1082" t="s">
        <v>18</v>
      </c>
      <c r="K1082" t="s">
        <v>315</v>
      </c>
      <c r="L1082" t="s">
        <v>1296</v>
      </c>
    </row>
    <row hidden="1" r="1083" s="1" spans="1:12">
      <c r="A1083" s="4" t="n">
        <v>43129</v>
      </c>
      <c r="B1083" t="s">
        <v>564</v>
      </c>
      <c r="C1083" t="s">
        <v>62</v>
      </c>
      <c r="D1083" t="s">
        <v>245</v>
      </c>
      <c r="E1083" t="s">
        <v>15</v>
      </c>
      <c r="F1083" t="s">
        <v>28</v>
      </c>
      <c r="G1083" t="s">
        <v>1735</v>
      </c>
      <c r="H1083">
        <f>HYPERLINK("https://www.jouwictvacature.nl/solliciteren?job=senior-mendix-ontwikkelaar-bij-volant-groep-bij-volant-groep", "Link")</f>
        <v/>
      </c>
      <c r="I1083" t="s">
        <v>17</v>
      </c>
      <c r="J1083" t="s">
        <v>18</v>
      </c>
      <c r="K1083" t="s">
        <v>1736</v>
      </c>
      <c r="L1083" t="s">
        <v>1737</v>
      </c>
    </row>
    <row r="1084" spans="1:12">
      <c r="A1084" s="4" t="n">
        <v>43132</v>
      </c>
      <c r="B1084" t="s">
        <v>49</v>
      </c>
      <c r="C1084" t="s">
        <v>50</v>
      </c>
      <c r="D1084" t="s">
        <v>22</v>
      </c>
      <c r="E1084" t="s">
        <v>51</v>
      </c>
      <c r="F1084" t="s">
        <v>34</v>
      </c>
      <c r="G1084" t="s">
        <v>1682</v>
      </c>
      <c r="H1084">
        <f>HYPERLINK("https://www.jouwictvacature.nl/solliciteren?job=junior-allround-developer-bij-asamco-bv", "Link")</f>
        <v/>
      </c>
      <c r="I1084" t="s">
        <v>17</v>
      </c>
      <c r="J1084" t="s">
        <v>18</v>
      </c>
      <c r="K1084" t="s">
        <v>59</v>
      </c>
      <c r="L1084" t="s">
        <v>1683</v>
      </c>
    </row>
    <row hidden="1" r="1085" s="1" spans="1:12">
      <c r="A1085" s="4" t="n">
        <v>43132</v>
      </c>
      <c r="B1085" t="s">
        <v>878</v>
      </c>
      <c r="C1085" t="s">
        <v>1670</v>
      </c>
      <c r="D1085" t="s">
        <v>22</v>
      </c>
      <c r="E1085" t="s">
        <v>15</v>
      </c>
      <c r="F1085" t="s">
        <v>52</v>
      </c>
      <c r="G1085" t="s">
        <v>301</v>
      </c>
      <c r="H1085">
        <f>HYPERLINK("https://www.jouwictvacature.nl/solliciteren?job=medior-php-developer-bij-divtag", "Link")</f>
        <v/>
      </c>
      <c r="I1085" t="s">
        <v>17</v>
      </c>
      <c r="J1085" t="s">
        <v>18</v>
      </c>
      <c r="K1085" t="s">
        <v>879</v>
      </c>
      <c r="L1085" t="s">
        <v>880</v>
      </c>
    </row>
    <row hidden="1" r="1086" s="1" spans="1:12">
      <c r="A1086" s="4" t="n">
        <v>43130</v>
      </c>
      <c r="B1086" t="s">
        <v>564</v>
      </c>
      <c r="C1086" t="s">
        <v>62</v>
      </c>
      <c r="D1086" t="s">
        <v>245</v>
      </c>
      <c r="E1086" t="s">
        <v>15</v>
      </c>
      <c r="F1086" t="s">
        <v>52</v>
      </c>
      <c r="G1086" t="s">
        <v>1738</v>
      </c>
      <c r="H1086">
        <f>HYPERLINK("https://www.jouwictvacature.nl/solliciteren?job=medior-mendix-ontwikkelaar-bij-volant-groep", "Link")</f>
        <v/>
      </c>
      <c r="I1086" t="s">
        <v>17</v>
      </c>
      <c r="J1086" t="s">
        <v>18</v>
      </c>
      <c r="K1086" t="s">
        <v>1739</v>
      </c>
      <c r="L1086" t="s">
        <v>1740</v>
      </c>
    </row>
    <row hidden="1" r="1087" s="1" spans="1:12">
      <c r="A1087" s="4" t="n">
        <v>43132</v>
      </c>
      <c r="B1087" t="s">
        <v>293</v>
      </c>
      <c r="C1087" t="s">
        <v>294</v>
      </c>
      <c r="D1087" t="s">
        <v>14</v>
      </c>
      <c r="E1087" t="s">
        <v>15</v>
      </c>
      <c r="F1087" t="s">
        <v>52</v>
      </c>
      <c r="G1087" t="s">
        <v>301</v>
      </c>
      <c r="H1087">
        <f>HYPERLINK("https://www.jouwictvacature.nl/solliciteren?job=medior-php-developer--fulltime-bij-koekenpeer", "Link")</f>
        <v/>
      </c>
      <c r="I1087" t="s">
        <v>17</v>
      </c>
      <c r="J1087" t="s">
        <v>18</v>
      </c>
      <c r="K1087" t="s">
        <v>302</v>
      </c>
      <c r="L1087" t="s">
        <v>303</v>
      </c>
    </row>
    <row hidden="1" r="1088" s="1" spans="1:12">
      <c r="A1088" s="4" t="n">
        <v>43132</v>
      </c>
      <c r="B1088" t="s">
        <v>365</v>
      </c>
      <c r="C1088" t="s">
        <v>366</v>
      </c>
      <c r="D1088" t="s">
        <v>14</v>
      </c>
      <c r="E1088" t="s">
        <v>15</v>
      </c>
      <c r="F1088" t="s">
        <v>16</v>
      </c>
      <c r="G1088" t="s">
        <v>365</v>
      </c>
      <c r="H1088">
        <f>HYPERLINK("https://www.jouwictvacature.nl/solliciteren?job=medior-laravel-programmeur-bij-not-on-paper-", "Link")</f>
        <v/>
      </c>
      <c r="I1088" t="s">
        <v>17</v>
      </c>
      <c r="J1088" t="s">
        <v>18</v>
      </c>
      <c r="K1088" t="s">
        <v>367</v>
      </c>
      <c r="L1088" t="s">
        <v>368</v>
      </c>
    </row>
    <row r="1089" spans="1:12">
      <c r="A1089" s="4" t="n">
        <v>43129</v>
      </c>
      <c r="B1089" t="s">
        <v>664</v>
      </c>
      <c r="C1089" t="s">
        <v>498</v>
      </c>
      <c r="D1089" t="s">
        <v>245</v>
      </c>
      <c r="E1089" t="s">
        <v>51</v>
      </c>
      <c r="F1089" t="s">
        <v>52</v>
      </c>
      <c r="G1089" t="s">
        <v>1741</v>
      </c>
      <c r="H1089">
        <f>HYPERLINK("https://www.jouwictvacature.nl/solliciteren?job=medior-fullstack-developer-bij-we4sea", "Link")</f>
        <v/>
      </c>
      <c r="I1089" t="s">
        <v>17</v>
      </c>
      <c r="J1089" t="s">
        <v>18</v>
      </c>
      <c r="K1089" t="s">
        <v>666</v>
      </c>
      <c r="L1089" t="s">
        <v>1742</v>
      </c>
    </row>
    <row hidden="1" r="1090" s="1" spans="1:12">
      <c r="A1090" s="4" t="n">
        <v>43132</v>
      </c>
      <c r="B1090" t="s">
        <v>1360</v>
      </c>
      <c r="C1090" t="s">
        <v>1361</v>
      </c>
      <c r="D1090" t="s">
        <v>22</v>
      </c>
      <c r="E1090" t="s">
        <v>15</v>
      </c>
      <c r="F1090" t="s">
        <v>34</v>
      </c>
      <c r="G1090" t="s">
        <v>1362</v>
      </c>
      <c r="H1090">
        <f>HYPERLINK("https://www.jouwictvacature.nl/solliciteren?job=back-end-developer-bij-deepdata", "Link")</f>
        <v/>
      </c>
      <c r="I1090" t="s">
        <v>17</v>
      </c>
      <c r="J1090" t="s">
        <v>18</v>
      </c>
      <c r="K1090" t="s">
        <v>1363</v>
      </c>
      <c r="L1090" t="s">
        <v>1364</v>
      </c>
    </row>
    <row hidden="1" r="1091" s="1" spans="1:12">
      <c r="A1091" s="4" t="n">
        <v>43132</v>
      </c>
      <c r="B1091" t="s">
        <v>230</v>
      </c>
      <c r="C1091" t="s">
        <v>93</v>
      </c>
      <c r="D1091" t="s">
        <v>22</v>
      </c>
      <c r="E1091" t="s">
        <v>15</v>
      </c>
      <c r="F1091" t="s">
        <v>16</v>
      </c>
      <c r="G1091" t="s">
        <v>234</v>
      </c>
      <c r="H1091">
        <f>HYPERLINK("https://www.jouwictvacature.nl/solliciteren?job=php-programmeur-17", "Link")</f>
        <v/>
      </c>
      <c r="I1091" t="s">
        <v>17</v>
      </c>
      <c r="J1091" t="s">
        <v>18</v>
      </c>
      <c r="K1091" t="s">
        <v>235</v>
      </c>
      <c r="L1091" t="s">
        <v>236</v>
      </c>
    </row>
    <row hidden="1" r="1092" s="1" spans="1:12">
      <c r="A1092" s="4" t="n">
        <v>43132</v>
      </c>
      <c r="B1092" t="s">
        <v>878</v>
      </c>
      <c r="C1092" t="s">
        <v>1670</v>
      </c>
      <c r="D1092" t="s">
        <v>22</v>
      </c>
      <c r="E1092" t="s">
        <v>15</v>
      </c>
      <c r="F1092" t="s">
        <v>28</v>
      </c>
      <c r="G1092" t="s">
        <v>1743</v>
      </c>
      <c r="H1092">
        <f>HYPERLINK("https://www.jouwictvacature.nl/solliciteren?job=senior-php-developer-bij-divtag", "Link")</f>
        <v/>
      </c>
      <c r="I1092" t="s">
        <v>17</v>
      </c>
      <c r="J1092" t="s">
        <v>18</v>
      </c>
      <c r="K1092" t="s">
        <v>879</v>
      </c>
      <c r="L1092" t="s">
        <v>1744</v>
      </c>
    </row>
    <row hidden="1" r="1093" s="1" spans="1:12">
      <c r="A1093" s="4" t="n">
        <v>43132</v>
      </c>
      <c r="B1093" t="s">
        <v>342</v>
      </c>
      <c r="C1093" t="s">
        <v>309</v>
      </c>
      <c r="D1093" t="s">
        <v>14</v>
      </c>
      <c r="E1093" t="s">
        <v>15</v>
      </c>
      <c r="F1093" t="s">
        <v>34</v>
      </c>
      <c r="G1093" t="s">
        <v>1745</v>
      </c>
      <c r="H1093">
        <f>HYPERLINK("https://www.jouwictvacature.nl/solliciteren?job=junior-php-developer-bij-muntz-bij-muntz", "Link")</f>
        <v/>
      </c>
      <c r="I1093" t="s">
        <v>17</v>
      </c>
      <c r="J1093" t="s">
        <v>18</v>
      </c>
      <c r="K1093" t="s">
        <v>344</v>
      </c>
      <c r="L1093" t="s">
        <v>1746</v>
      </c>
    </row>
    <row hidden="1" r="1094" s="1" spans="1:12">
      <c r="A1094" s="4" t="n">
        <v>43132</v>
      </c>
      <c r="B1094" t="s">
        <v>278</v>
      </c>
      <c r="C1094" t="s">
        <v>279</v>
      </c>
      <c r="D1094" t="s">
        <v>14</v>
      </c>
      <c r="E1094" t="s">
        <v>15</v>
      </c>
      <c r="F1094" t="s">
        <v>16</v>
      </c>
      <c r="G1094" t="s">
        <v>1747</v>
      </c>
      <c r="H1094">
        <f>HYPERLINK("https://www.jouwictvacature.nl/solliciteren?job=gedreven-senior-php--magento-developer-bij-topwerkgever--2", "Link")</f>
        <v/>
      </c>
      <c r="I1094" t="s">
        <v>17</v>
      </c>
      <c r="J1094" t="s">
        <v>18</v>
      </c>
      <c r="K1094" t="s">
        <v>651</v>
      </c>
      <c r="L1094" t="s">
        <v>1748</v>
      </c>
    </row>
    <row hidden="1" r="1095" s="1" spans="1:12">
      <c r="A1095" s="4" t="n">
        <v>43132</v>
      </c>
      <c r="B1095" t="s">
        <v>142</v>
      </c>
      <c r="C1095" t="s">
        <v>143</v>
      </c>
      <c r="D1095" t="s">
        <v>22</v>
      </c>
      <c r="E1095" t="s">
        <v>15</v>
      </c>
      <c r="F1095" t="s">
        <v>28</v>
      </c>
      <c r="G1095" t="s">
        <v>321</v>
      </c>
      <c r="H1095">
        <f>HYPERLINK("https://www.jouwictvacature.nl/solliciteren?job=senior-javascript-developer-bij-coas", "Link")</f>
        <v/>
      </c>
      <c r="I1095" t="s">
        <v>17</v>
      </c>
      <c r="J1095" t="s">
        <v>18</v>
      </c>
      <c r="K1095" t="s">
        <v>145</v>
      </c>
      <c r="L1095" t="s">
        <v>1098</v>
      </c>
    </row>
    <row hidden="1" r="1096" s="1" spans="1:12">
      <c r="A1096" s="4" t="n">
        <v>43132</v>
      </c>
      <c r="B1096" t="s">
        <v>745</v>
      </c>
      <c r="C1096" t="s">
        <v>80</v>
      </c>
      <c r="D1096" t="s">
        <v>22</v>
      </c>
      <c r="E1096" t="s">
        <v>15</v>
      </c>
      <c r="F1096" t="s">
        <v>16</v>
      </c>
      <c r="G1096" t="s">
        <v>745</v>
      </c>
      <c r="H1096">
        <f>HYPERLINK("https://www.jouwictvacature.nl/solliciteren?job=medior-front-end-developer-bij-hostnet", "Link")</f>
        <v/>
      </c>
      <c r="I1096" t="s">
        <v>17</v>
      </c>
      <c r="J1096" t="s">
        <v>18</v>
      </c>
      <c r="K1096" t="s">
        <v>746</v>
      </c>
      <c r="L1096" t="s">
        <v>747</v>
      </c>
    </row>
    <row hidden="1" r="1097" s="1" spans="1:12">
      <c r="A1097" s="4" t="n">
        <v>43132</v>
      </c>
      <c r="B1097" t="s">
        <v>829</v>
      </c>
      <c r="C1097" t="s">
        <v>279</v>
      </c>
      <c r="D1097" t="s">
        <v>22</v>
      </c>
      <c r="E1097" t="s">
        <v>15</v>
      </c>
      <c r="F1097" t="s">
        <v>52</v>
      </c>
      <c r="G1097" t="s">
        <v>1092</v>
      </c>
      <c r="H1097">
        <f>HYPERLINK("https://www.jouwictvacature.nl/solliciteren?job=medior-front-end-ontwikkelaar-bij-bigbridge-bij-bigbridge", "Link")</f>
        <v/>
      </c>
      <c r="I1097" t="s">
        <v>17</v>
      </c>
      <c r="J1097" t="s">
        <v>18</v>
      </c>
      <c r="K1097" t="s">
        <v>953</v>
      </c>
      <c r="L1097" t="s">
        <v>1564</v>
      </c>
    </row>
    <row hidden="1" r="1098" s="1" spans="1:12">
      <c r="A1098" s="4" t="n">
        <v>43129</v>
      </c>
      <c r="B1098" t="s">
        <v>568</v>
      </c>
      <c r="C1098" t="s">
        <v>157</v>
      </c>
      <c r="D1098" t="s">
        <v>245</v>
      </c>
      <c r="E1098" t="s">
        <v>15</v>
      </c>
      <c r="F1098" t="s">
        <v>16</v>
      </c>
      <c r="G1098" t="s">
        <v>949</v>
      </c>
      <c r="H1098">
        <f>HYPERLINK("https://www.jouwictvacature.nl/solliciteren?job=ervaren-medior-wordpress-developer-gezocht-bij-web-whales", "Link")</f>
        <v/>
      </c>
      <c r="I1098" t="s">
        <v>17</v>
      </c>
      <c r="J1098" t="s">
        <v>18</v>
      </c>
      <c r="K1098" t="s">
        <v>570</v>
      </c>
      <c r="L1098" t="s">
        <v>950</v>
      </c>
    </row>
    <row hidden="1" r="1099" s="1" spans="1:12">
      <c r="A1099" s="4" t="n">
        <v>43130</v>
      </c>
      <c r="B1099" t="s">
        <v>568</v>
      </c>
      <c r="C1099" t="s">
        <v>157</v>
      </c>
      <c r="D1099" t="s">
        <v>245</v>
      </c>
      <c r="E1099" t="s">
        <v>15</v>
      </c>
      <c r="F1099" t="s">
        <v>16</v>
      </c>
      <c r="G1099" t="s">
        <v>569</v>
      </c>
      <c r="H1099">
        <f>HYPERLINK("https://www.jouwictvacature.nl/solliciteren?job=ervaren-senior-wordpress-developer-gezocht-bij-web-whales", "Link")</f>
        <v/>
      </c>
      <c r="I1099" t="s">
        <v>17</v>
      </c>
      <c r="J1099" t="s">
        <v>18</v>
      </c>
      <c r="K1099" t="s">
        <v>570</v>
      </c>
      <c r="L1099" t="s">
        <v>571</v>
      </c>
    </row>
    <row hidden="1" r="1100" s="1" spans="1:12">
      <c r="A1100" s="4" t="n">
        <v>43129</v>
      </c>
      <c r="B1100" t="s">
        <v>574</v>
      </c>
      <c r="C1100" t="s">
        <v>575</v>
      </c>
      <c r="D1100" t="s">
        <v>245</v>
      </c>
      <c r="E1100" t="s">
        <v>15</v>
      </c>
      <c r="F1100" t="s">
        <v>16</v>
      </c>
      <c r="G1100" t="s">
        <v>574</v>
      </c>
      <c r="H1100">
        <f>HYPERLINK("https://www.jouwictvacature.nl/solliciteren?job=medior-xamarin-ontwikkelaar-bij-webbeat--2", "Link")</f>
        <v/>
      </c>
      <c r="I1100" t="s">
        <v>17</v>
      </c>
      <c r="J1100" t="s">
        <v>18</v>
      </c>
      <c r="K1100" t="s">
        <v>910</v>
      </c>
      <c r="L1100" t="s">
        <v>911</v>
      </c>
    </row>
    <row hidden="1" r="1101" s="1" spans="1:12">
      <c r="A1101" s="4" t="n">
        <v>43132</v>
      </c>
      <c r="B1101" t="s">
        <v>1261</v>
      </c>
      <c r="C1101" t="s">
        <v>1262</v>
      </c>
      <c r="D1101" t="s">
        <v>22</v>
      </c>
      <c r="E1101" t="s">
        <v>15</v>
      </c>
      <c r="F1101" t="s">
        <v>52</v>
      </c>
      <c r="G1101" t="s">
        <v>1309</v>
      </c>
      <c r="H1101">
        <f>HYPERLINK("https://www.jouwictvacature.nl/solliciteren?job=medior-front-end-developer-bij-blue-carpet-bij-blue-carpet", "Link")</f>
        <v/>
      </c>
      <c r="I1101" t="s">
        <v>17</v>
      </c>
      <c r="J1101" t="s">
        <v>18</v>
      </c>
      <c r="K1101" t="s">
        <v>1264</v>
      </c>
      <c r="L1101" t="s">
        <v>1310</v>
      </c>
    </row>
    <row hidden="1" r="1102" s="1" spans="1:12">
      <c r="A1102" s="4" t="n">
        <v>43129</v>
      </c>
      <c r="B1102" t="s">
        <v>574</v>
      </c>
      <c r="C1102" t="s">
        <v>575</v>
      </c>
      <c r="D1102" t="s">
        <v>245</v>
      </c>
      <c r="E1102" t="s">
        <v>15</v>
      </c>
      <c r="F1102" t="s">
        <v>16</v>
      </c>
      <c r="G1102" t="s">
        <v>574</v>
      </c>
      <c r="H1102">
        <f>HYPERLINK("https://www.jouwictvacature.nl/solliciteren?job=medior-xamarin-ontwikkelaar-bij-webbeat--2", "Link")</f>
        <v/>
      </c>
      <c r="I1102" t="s">
        <v>17</v>
      </c>
      <c r="J1102" t="s">
        <v>18</v>
      </c>
      <c r="K1102" t="s">
        <v>910</v>
      </c>
      <c r="L1102" t="s">
        <v>911</v>
      </c>
    </row>
    <row hidden="1" r="1103" s="1" spans="1:12">
      <c r="A1103" s="4" t="n">
        <v>43132</v>
      </c>
      <c r="B1103" t="s">
        <v>26</v>
      </c>
      <c r="C1103" t="s">
        <v>660</v>
      </c>
      <c r="D1103" t="s">
        <v>22</v>
      </c>
      <c r="E1103" t="s">
        <v>15</v>
      </c>
      <c r="F1103" t="s">
        <v>28</v>
      </c>
      <c r="G1103" t="s">
        <v>375</v>
      </c>
      <c r="H1103">
        <f>HYPERLINK("https://www.jouwictvacature.nl/solliciteren?job=senior-fullstack-developer-bij-aan-zee-communicatie", "Link")</f>
        <v/>
      </c>
      <c r="I1103" t="s">
        <v>17</v>
      </c>
      <c r="J1103" t="s">
        <v>18</v>
      </c>
      <c r="K1103" t="s">
        <v>662</v>
      </c>
      <c r="L1103" t="s">
        <v>962</v>
      </c>
    </row>
    <row hidden="1" r="1104" s="1" spans="1:12">
      <c r="A1104" s="4" t="n">
        <v>43132</v>
      </c>
      <c r="B1104" t="s">
        <v>374</v>
      </c>
      <c r="C1104" t="s">
        <v>93</v>
      </c>
      <c r="D1104" t="s">
        <v>14</v>
      </c>
      <c r="E1104" t="s">
        <v>15</v>
      </c>
      <c r="F1104" t="s">
        <v>28</v>
      </c>
      <c r="G1104" t="s">
        <v>375</v>
      </c>
      <c r="H1104">
        <f>HYPERLINK("https://www.jouwictvacature.nl/solliciteren?job=senior-fullstack-developer-bij-oo-shopping", "Link")</f>
        <v/>
      </c>
      <c r="I1104" t="s">
        <v>17</v>
      </c>
      <c r="J1104" t="s">
        <v>18</v>
      </c>
      <c r="K1104" t="s">
        <v>376</v>
      </c>
      <c r="L1104" t="s">
        <v>377</v>
      </c>
    </row>
    <row hidden="1" r="1105" s="1" spans="1:12">
      <c r="A1105" s="4" t="n">
        <v>43132</v>
      </c>
      <c r="B1105" t="s">
        <v>174</v>
      </c>
      <c r="C1105" t="s">
        <v>80</v>
      </c>
      <c r="D1105" t="s">
        <v>22</v>
      </c>
      <c r="E1105" t="s">
        <v>15</v>
      </c>
      <c r="F1105" t="s">
        <v>52</v>
      </c>
      <c r="G1105" t="s">
        <v>1341</v>
      </c>
      <c r="H1105">
        <f>HYPERLINK("https://www.jouwictvacature.nl/solliciteren?job=medior-java-developer--hibernate-jpa-spring-mvc-oracle-bij-dpa-geos-2", "Link")</f>
        <v/>
      </c>
      <c r="I1105" t="s">
        <v>17</v>
      </c>
      <c r="J1105" t="s">
        <v>18</v>
      </c>
      <c r="K1105" t="s">
        <v>179</v>
      </c>
      <c r="L1105" t="s">
        <v>1342</v>
      </c>
    </row>
    <row hidden="1" r="1106" s="1" spans="1:12">
      <c r="A1106" s="4" t="n">
        <v>43130</v>
      </c>
      <c r="B1106" t="s">
        <v>574</v>
      </c>
      <c r="C1106" t="s">
        <v>575</v>
      </c>
      <c r="D1106" t="s">
        <v>245</v>
      </c>
      <c r="E1106" t="s">
        <v>15</v>
      </c>
      <c r="F1106" t="s">
        <v>28</v>
      </c>
      <c r="G1106" t="s">
        <v>581</v>
      </c>
      <c r="H1106">
        <f>HYPERLINK("https://www.jouwictvacature.nl/solliciteren?job=senior-ios-developer-bij-webbeat", "Link")</f>
        <v/>
      </c>
      <c r="I1106" t="s">
        <v>17</v>
      </c>
      <c r="J1106" t="s">
        <v>18</v>
      </c>
      <c r="K1106" t="s">
        <v>577</v>
      </c>
      <c r="L1106" t="s">
        <v>582</v>
      </c>
    </row>
    <row hidden="1" r="1107" s="1" spans="1:12">
      <c r="A1107" s="4" t="n">
        <v>43132</v>
      </c>
      <c r="B1107" t="s">
        <v>574</v>
      </c>
      <c r="C1107" t="s">
        <v>575</v>
      </c>
      <c r="D1107" t="s">
        <v>245</v>
      </c>
      <c r="E1107" t="s">
        <v>15</v>
      </c>
      <c r="F1107" t="s">
        <v>52</v>
      </c>
      <c r="G1107" t="s">
        <v>576</v>
      </c>
      <c r="H1107">
        <f>HYPERLINK("https://www.jouwictvacature.nl/solliciteren?job=medior-ios-developer-bij-webbeat", "Link")</f>
        <v/>
      </c>
      <c r="I1107" t="s">
        <v>17</v>
      </c>
      <c r="J1107" t="s">
        <v>18</v>
      </c>
      <c r="K1107" t="s">
        <v>577</v>
      </c>
      <c r="L1107" t="s">
        <v>578</v>
      </c>
    </row>
    <row hidden="1" r="1108" s="1" spans="1:12">
      <c r="A1108" s="4" t="n">
        <v>43132</v>
      </c>
      <c r="B1108" t="s">
        <v>71</v>
      </c>
      <c r="C1108" t="s">
        <v>72</v>
      </c>
      <c r="D1108" t="s">
        <v>22</v>
      </c>
      <c r="E1108" t="s">
        <v>15</v>
      </c>
      <c r="F1108" t="s">
        <v>34</v>
      </c>
      <c r="G1108" t="s">
        <v>1425</v>
      </c>
      <c r="H1108">
        <f>HYPERLINK("https://www.jouwictvacature.nl/solliciteren?job=junior-agile-test-specialist-bij-bartosz-bij-bartosz-amsterdam-2", "Link")</f>
        <v/>
      </c>
      <c r="I1108" t="s">
        <v>17</v>
      </c>
      <c r="J1108" t="s">
        <v>18</v>
      </c>
      <c r="K1108" t="s">
        <v>91</v>
      </c>
      <c r="L1108" t="s">
        <v>1426</v>
      </c>
    </row>
    <row hidden="1" r="1109" s="1" spans="1:12">
      <c r="A1109" s="4" t="n">
        <v>43132</v>
      </c>
      <c r="B1109" t="s">
        <v>174</v>
      </c>
      <c r="C1109" t="s">
        <v>93</v>
      </c>
      <c r="D1109" t="s">
        <v>22</v>
      </c>
      <c r="E1109" t="s">
        <v>15</v>
      </c>
      <c r="F1109" t="s">
        <v>28</v>
      </c>
      <c r="G1109" t="s">
        <v>1719</v>
      </c>
      <c r="H1109">
        <f>HYPERLINK("https://www.jouwictvacature.nl/solliciteren?job=senior-java-developer--spring-grails-wicket-javascript-scala-bij-dpa-g-2", "Link")</f>
        <v/>
      </c>
      <c r="I1109" t="s">
        <v>17</v>
      </c>
      <c r="J1109" t="s">
        <v>18</v>
      </c>
      <c r="K1109" t="s">
        <v>176</v>
      </c>
      <c r="L1109" t="s">
        <v>1720</v>
      </c>
    </row>
    <row hidden="1" r="1110" s="1" spans="1:12">
      <c r="A1110" s="4" t="n">
        <v>43132</v>
      </c>
      <c r="B1110" t="s">
        <v>115</v>
      </c>
      <c r="C1110" t="s">
        <v>62</v>
      </c>
      <c r="D1110" t="s">
        <v>22</v>
      </c>
      <c r="E1110" t="s">
        <v>15</v>
      </c>
      <c r="F1110" t="s">
        <v>16</v>
      </c>
      <c r="G1110" t="s">
        <v>120</v>
      </c>
      <c r="H1110">
        <f>HYPERLINK("https://www.jouwictvacature.nl/solliciteren?job=werken-in-een-oude-utrechtse-watertoren-als-junior-java-developer-bij-", "Link")</f>
        <v/>
      </c>
      <c r="I1110" t="s">
        <v>17</v>
      </c>
      <c r="J1110" t="s">
        <v>18</v>
      </c>
      <c r="K1110" t="s">
        <v>121</v>
      </c>
      <c r="L1110" t="s">
        <v>122</v>
      </c>
    </row>
    <row hidden="1" r="1111" s="1" spans="1:12">
      <c r="A1111" s="4" t="n">
        <v>43132</v>
      </c>
      <c r="B1111" t="s">
        <v>71</v>
      </c>
      <c r="C1111" t="s">
        <v>62</v>
      </c>
      <c r="D1111" t="s">
        <v>22</v>
      </c>
      <c r="E1111" t="s">
        <v>15</v>
      </c>
      <c r="F1111" t="s">
        <v>34</v>
      </c>
      <c r="G1111" t="s">
        <v>97</v>
      </c>
      <c r="H1111">
        <f>HYPERLINK("https://www.jouwictvacature.nl/solliciteren?job=junior-testanalist-bij-bartosz-bij-bartosz-utrecht", "Link")</f>
        <v/>
      </c>
      <c r="I1111" t="s">
        <v>17</v>
      </c>
      <c r="J1111" t="s">
        <v>18</v>
      </c>
      <c r="K1111" t="s">
        <v>95</v>
      </c>
      <c r="L1111" t="s">
        <v>98</v>
      </c>
    </row>
    <row hidden="1" r="1112" s="1" spans="1:12">
      <c r="A1112" s="4" t="n">
        <v>43132</v>
      </c>
      <c r="B1112" t="s">
        <v>71</v>
      </c>
      <c r="C1112" t="s">
        <v>80</v>
      </c>
      <c r="D1112" t="s">
        <v>22</v>
      </c>
      <c r="E1112" t="s">
        <v>15</v>
      </c>
      <c r="F1112" t="s">
        <v>28</v>
      </c>
      <c r="G1112" t="s">
        <v>88</v>
      </c>
      <c r="H1112">
        <f>HYPERLINK("https://www.jouwictvacature.nl/solliciteren?job=senior-feedback-engineer-bij-bartosz-bij-bartosz-amsterdam", "Link")</f>
        <v/>
      </c>
      <c r="I1112" t="s">
        <v>17</v>
      </c>
      <c r="J1112" t="s">
        <v>18</v>
      </c>
      <c r="K1112" t="s">
        <v>78</v>
      </c>
      <c r="L1112" t="s">
        <v>1187</v>
      </c>
    </row>
    <row hidden="1" r="1113" s="1" spans="1:12">
      <c r="A1113" s="4" t="n">
        <v>43132</v>
      </c>
      <c r="B1113" t="s">
        <v>115</v>
      </c>
      <c r="C1113" t="s">
        <v>62</v>
      </c>
      <c r="D1113" t="s">
        <v>22</v>
      </c>
      <c r="E1113" t="s">
        <v>15</v>
      </c>
      <c r="F1113" t="s">
        <v>16</v>
      </c>
      <c r="G1113" t="s">
        <v>969</v>
      </c>
      <c r="H1113">
        <f>HYPERLINK("https://www.jouwictvacature.nl/solliciteren?job=wil-jij-als-software-manager-aan-de-slag-in-een-oude-utrechtse-waterto", "Link")</f>
        <v/>
      </c>
      <c r="I1113" t="s">
        <v>17</v>
      </c>
      <c r="J1113" t="s">
        <v>18</v>
      </c>
      <c r="K1113" t="s">
        <v>970</v>
      </c>
      <c r="L1113" t="s">
        <v>971</v>
      </c>
    </row>
    <row hidden="1" r="1114" s="1" spans="1:12">
      <c r="A1114" s="4" t="n">
        <v>43132</v>
      </c>
      <c r="B1114" t="s">
        <v>237</v>
      </c>
      <c r="C1114" t="s">
        <v>93</v>
      </c>
      <c r="D1114" t="s">
        <v>22</v>
      </c>
      <c r="E1114" t="s">
        <v>15</v>
      </c>
      <c r="F1114" t="s">
        <v>28</v>
      </c>
      <c r="G1114" t="s">
        <v>1337</v>
      </c>
      <c r="H1114">
        <f>HYPERLINK("https://www.jouwictvacature.nl/solliciteren?job=senior-java-developer-bij-hybrit-2", "Link")</f>
        <v/>
      </c>
      <c r="I1114" t="s">
        <v>17</v>
      </c>
      <c r="J1114" t="s">
        <v>18</v>
      </c>
      <c r="K1114" t="s">
        <v>1189</v>
      </c>
      <c r="L1114" t="s">
        <v>1338</v>
      </c>
    </row>
    <row hidden="1" r="1115" s="1" spans="1:12">
      <c r="A1115" s="4" t="n">
        <v>43132</v>
      </c>
      <c r="B1115" t="s">
        <v>104</v>
      </c>
      <c r="C1115" t="s">
        <v>62</v>
      </c>
      <c r="D1115" t="s">
        <v>22</v>
      </c>
      <c r="E1115" t="s">
        <v>15</v>
      </c>
      <c r="F1115" t="s">
        <v>16</v>
      </c>
      <c r="G1115" t="s">
        <v>104</v>
      </c>
      <c r="H1115">
        <f>HYPERLINK("https://www.jouwictvacature.nl/solliciteren?job=junior-net-ontwikkelaar-bij-betabit-regio-utrechtamsterdam", "Link")</f>
        <v/>
      </c>
      <c r="I1115" t="s">
        <v>17</v>
      </c>
      <c r="J1115" t="s">
        <v>18</v>
      </c>
      <c r="K1115" t="s">
        <v>107</v>
      </c>
      <c r="L1115" t="s">
        <v>1749</v>
      </c>
    </row>
    <row hidden="1" r="1116" s="1" spans="1:12">
      <c r="A1116" s="4" t="n">
        <v>43129</v>
      </c>
      <c r="B1116" t="s">
        <v>585</v>
      </c>
      <c r="C1116" t="s">
        <v>586</v>
      </c>
      <c r="D1116" t="s">
        <v>245</v>
      </c>
      <c r="E1116" t="s">
        <v>15</v>
      </c>
      <c r="F1116" t="s">
        <v>16</v>
      </c>
      <c r="G1116" t="s">
        <v>1750</v>
      </c>
      <c r="H1116">
        <f>HYPERLINK("https://www.jouwictvacature.nl/solliciteren?job=senior-php-webontwikkelaar-met-kennis-van-laravel", "Link")</f>
        <v/>
      </c>
      <c r="I1116" t="s">
        <v>17</v>
      </c>
      <c r="J1116" t="s">
        <v>18</v>
      </c>
      <c r="K1116" t="s">
        <v>1751</v>
      </c>
      <c r="L1116" t="s">
        <v>1752</v>
      </c>
    </row>
    <row hidden="1" r="1117" s="1" spans="1:12">
      <c r="A1117" s="4" t="n">
        <v>43132</v>
      </c>
      <c r="B1117" t="s">
        <v>196</v>
      </c>
      <c r="C1117" t="s">
        <v>197</v>
      </c>
      <c r="D1117" t="s">
        <v>22</v>
      </c>
      <c r="E1117" t="s">
        <v>15</v>
      </c>
      <c r="F1117" t="s">
        <v>52</v>
      </c>
      <c r="G1117" t="s">
        <v>1753</v>
      </c>
      <c r="H1117">
        <f>HYPERLINK("https://www.jouwictvacature.nl/solliciteren?job=medior-c-net--reactjs-developer-bij-easyads-inhouse", "Link")</f>
        <v/>
      </c>
      <c r="I1117" t="s">
        <v>17</v>
      </c>
      <c r="J1117" t="s">
        <v>18</v>
      </c>
      <c r="K1117" t="s">
        <v>199</v>
      </c>
      <c r="L1117" t="s">
        <v>1754</v>
      </c>
    </row>
    <row r="1118" spans="1:12">
      <c r="A1118" s="4" t="n">
        <v>43132</v>
      </c>
      <c r="B1118" t="s">
        <v>382</v>
      </c>
      <c r="C1118" t="s">
        <v>274</v>
      </c>
      <c r="D1118" t="s">
        <v>14</v>
      </c>
      <c r="E1118" t="s">
        <v>51</v>
      </c>
      <c r="F1118" t="s">
        <v>34</v>
      </c>
      <c r="G1118" t="s">
        <v>1179</v>
      </c>
      <c r="H1118">
        <f>HYPERLINK("https://www.jouwictvacature.nl/solliciteren?job=junior-software-engineer--3", "Link")</f>
        <v/>
      </c>
      <c r="I1118" t="s">
        <v>17</v>
      </c>
      <c r="J1118" t="s">
        <v>18</v>
      </c>
      <c r="K1118" t="s">
        <v>1180</v>
      </c>
      <c r="L1118" t="s">
        <v>1181</v>
      </c>
    </row>
    <row hidden="1" r="1119" s="1" spans="1:12">
      <c r="A1119" s="4" t="n">
        <v>43130</v>
      </c>
      <c r="B1119" t="s">
        <v>585</v>
      </c>
      <c r="C1119" t="s">
        <v>586</v>
      </c>
      <c r="D1119" t="s">
        <v>245</v>
      </c>
      <c r="E1119" t="s">
        <v>15</v>
      </c>
      <c r="F1119" t="s">
        <v>16</v>
      </c>
      <c r="G1119" t="s">
        <v>1750</v>
      </c>
      <c r="H1119">
        <f>HYPERLINK("https://www.jouwictvacature.nl/solliciteren?job=senior-php-webontwikkelaar-met-kennis-van-laravel", "Link")</f>
        <v/>
      </c>
      <c r="I1119" t="s">
        <v>17</v>
      </c>
      <c r="J1119" t="s">
        <v>18</v>
      </c>
      <c r="K1119" t="s">
        <v>1751</v>
      </c>
      <c r="L1119" t="s">
        <v>1752</v>
      </c>
    </row>
    <row hidden="1" r="1120" s="1" spans="1:12">
      <c r="A1120" s="4" t="n">
        <v>43132</v>
      </c>
      <c r="B1120" t="s">
        <v>585</v>
      </c>
      <c r="C1120" t="s">
        <v>586</v>
      </c>
      <c r="D1120" t="s">
        <v>245</v>
      </c>
      <c r="E1120" t="s">
        <v>15</v>
      </c>
      <c r="F1120" t="s">
        <v>28</v>
      </c>
      <c r="G1120" t="s">
        <v>587</v>
      </c>
      <c r="H1120">
        <f>HYPERLINK("https://www.jouwictvacature.nl/solliciteren?job=gedreven-php-webontwikkelaar-medior-", "Link")</f>
        <v/>
      </c>
      <c r="I1120" t="s">
        <v>17</v>
      </c>
      <c r="J1120" t="s">
        <v>18</v>
      </c>
      <c r="K1120" t="s">
        <v>588</v>
      </c>
      <c r="L1120" t="s">
        <v>589</v>
      </c>
    </row>
    <row hidden="1" r="1121" s="1" spans="1:12">
      <c r="A1121" s="4" t="n">
        <v>43132</v>
      </c>
      <c r="B1121" t="s">
        <v>1755</v>
      </c>
      <c r="C1121" t="s">
        <v>591</v>
      </c>
      <c r="D1121" t="s">
        <v>14</v>
      </c>
      <c r="E1121" t="s">
        <v>15</v>
      </c>
      <c r="F1121" t="s">
        <v>16</v>
      </c>
      <c r="G1121" t="s">
        <v>1755</v>
      </c>
      <c r="H1121">
        <f>HYPERLINK("https://www.jouwictvacature.nl/solliciteren?job=senior-net-webdeveloper-bij-partech", "Link")</f>
        <v/>
      </c>
      <c r="I1121" t="s">
        <v>17</v>
      </c>
      <c r="J1121" t="s">
        <v>18</v>
      </c>
      <c r="K1121" t="s">
        <v>1756</v>
      </c>
      <c r="L1121" t="s">
        <v>1757</v>
      </c>
    </row>
    <row hidden="1" r="1122" s="1" spans="1:12">
      <c r="A1122" s="4" t="n">
        <v>43132</v>
      </c>
      <c r="B1122" t="s">
        <v>196</v>
      </c>
      <c r="C1122" t="s">
        <v>197</v>
      </c>
      <c r="D1122" t="s">
        <v>22</v>
      </c>
      <c r="E1122" t="s">
        <v>15</v>
      </c>
      <c r="F1122" t="s">
        <v>28</v>
      </c>
      <c r="G1122" t="s">
        <v>205</v>
      </c>
      <c r="H1122">
        <f>HYPERLINK("https://www.jouwictvacature.nl/solliciteren?job=senior-c-net--reactjs-developer-bij-easyads-inhouse", "Link")</f>
        <v/>
      </c>
      <c r="I1122" t="s">
        <v>17</v>
      </c>
      <c r="J1122" t="s">
        <v>18</v>
      </c>
      <c r="K1122" t="s">
        <v>199</v>
      </c>
      <c r="L1122" t="s">
        <v>206</v>
      </c>
    </row>
    <row hidden="1" r="1123" s="1" spans="1:12">
      <c r="A1123" s="4" t="n">
        <v>43132</v>
      </c>
      <c r="B1123" t="s">
        <v>257</v>
      </c>
      <c r="C1123" t="s">
        <v>13</v>
      </c>
      <c r="D1123" t="s">
        <v>14</v>
      </c>
      <c r="E1123" t="s">
        <v>15</v>
      </c>
      <c r="F1123" t="s">
        <v>16</v>
      </c>
      <c r="G1123" t="s">
        <v>1758</v>
      </c>
      <c r="H1123">
        <f>HYPERLINK("https://www.jouwictvacature.nl/solliciteren?job=principal-net-developer--werken-met-de-nieuwste-technieken", "Link")</f>
        <v/>
      </c>
      <c r="I1123" t="s">
        <v>17</v>
      </c>
      <c r="J1123" t="s">
        <v>18</v>
      </c>
      <c r="K1123" t="s">
        <v>259</v>
      </c>
      <c r="L1123" t="s">
        <v>1759</v>
      </c>
    </row>
    <row hidden="1" r="1124" s="1" spans="1:12">
      <c r="A1124" s="4" t="n">
        <v>43132</v>
      </c>
      <c r="B1124" t="s">
        <v>142</v>
      </c>
      <c r="C1124" t="s">
        <v>143</v>
      </c>
      <c r="D1124" t="s">
        <v>22</v>
      </c>
      <c r="E1124" t="s">
        <v>15</v>
      </c>
      <c r="F1124" t="s">
        <v>28</v>
      </c>
      <c r="G1124" t="s">
        <v>144</v>
      </c>
      <c r="H1124">
        <f>HYPERLINK("https://www.jouwictvacature.nl/solliciteren?job=senior-full-stack-developer-bij-coas", "Link")</f>
        <v/>
      </c>
      <c r="I1124" t="s">
        <v>17</v>
      </c>
      <c r="J1124" t="s">
        <v>18</v>
      </c>
      <c r="K1124" t="s">
        <v>145</v>
      </c>
      <c r="L1124" t="s">
        <v>146</v>
      </c>
    </row>
    <row hidden="1" r="1125" s="1" spans="1:12">
      <c r="A1125" s="4" t="n">
        <v>43132</v>
      </c>
      <c r="B1125" t="s">
        <v>317</v>
      </c>
      <c r="C1125" t="s">
        <v>45</v>
      </c>
      <c r="D1125" t="s">
        <v>14</v>
      </c>
      <c r="E1125" t="s">
        <v>15</v>
      </c>
      <c r="F1125" t="s">
        <v>52</v>
      </c>
      <c r="G1125" t="s">
        <v>631</v>
      </c>
      <c r="H1125">
        <f>HYPERLINK("https://www.jouwictvacature.nl/solliciteren?job=medior-full-stack-developer-bij-maximumnl", "Link")</f>
        <v/>
      </c>
      <c r="I1125" t="s">
        <v>17</v>
      </c>
      <c r="J1125" t="s">
        <v>18</v>
      </c>
      <c r="K1125" t="s">
        <v>632</v>
      </c>
      <c r="L1125" t="s">
        <v>633</v>
      </c>
    </row>
    <row hidden="1" r="1126" s="1" spans="1:12">
      <c r="A1126" s="4" t="n">
        <v>43132</v>
      </c>
      <c r="B1126" t="s">
        <v>585</v>
      </c>
      <c r="C1126" t="s">
        <v>586</v>
      </c>
      <c r="D1126" t="s">
        <v>245</v>
      </c>
      <c r="E1126" t="s">
        <v>15</v>
      </c>
      <c r="F1126" t="s">
        <v>16</v>
      </c>
      <c r="G1126" t="s">
        <v>713</v>
      </c>
      <c r="H1126">
        <f>HYPERLINK("https://www.jouwictvacature.nl/solliciteren?job=allround-php-webontwikkelaar-2", "Link")</f>
        <v/>
      </c>
      <c r="I1126" t="s">
        <v>17</v>
      </c>
      <c r="J1126" t="s">
        <v>18</v>
      </c>
      <c r="K1126" t="s">
        <v>588</v>
      </c>
      <c r="L1126" t="s">
        <v>714</v>
      </c>
    </row>
    <row hidden="1" r="1127" s="1" spans="1:12">
      <c r="A1127" s="4" t="n">
        <v>43132</v>
      </c>
      <c r="B1127" t="s">
        <v>317</v>
      </c>
      <c r="C1127" t="s">
        <v>45</v>
      </c>
      <c r="D1127" t="s">
        <v>14</v>
      </c>
      <c r="E1127" t="s">
        <v>15</v>
      </c>
      <c r="F1127" t="s">
        <v>52</v>
      </c>
      <c r="G1127" t="s">
        <v>318</v>
      </c>
      <c r="H1127">
        <f>HYPERLINK("https://www.jouwictvacature.nl/solliciteren?job=medior-front-end-developer-bij-maximumnl", "Link")</f>
        <v/>
      </c>
      <c r="I1127" t="s">
        <v>17</v>
      </c>
      <c r="J1127" t="s">
        <v>18</v>
      </c>
      <c r="K1127" t="s">
        <v>319</v>
      </c>
      <c r="L1127" t="s">
        <v>320</v>
      </c>
    </row>
    <row hidden="1" r="1128" s="1" spans="1:12">
      <c r="A1128" s="4" t="n">
        <v>43132</v>
      </c>
      <c r="B1128" t="s">
        <v>358</v>
      </c>
      <c r="C1128" t="s">
        <v>359</v>
      </c>
      <c r="D1128" t="s">
        <v>14</v>
      </c>
      <c r="E1128" t="s">
        <v>15</v>
      </c>
      <c r="F1128" t="s">
        <v>34</v>
      </c>
      <c r="G1128" t="s">
        <v>646</v>
      </c>
      <c r="H1128">
        <f>HYPERLINK("https://www.jouwictvacature.nl/solliciteren?job=junior-php-developer--3", "Link")</f>
        <v/>
      </c>
      <c r="I1128" t="s">
        <v>17</v>
      </c>
      <c r="J1128" t="s">
        <v>18</v>
      </c>
      <c r="K1128" t="s">
        <v>361</v>
      </c>
      <c r="L1128" t="s">
        <v>647</v>
      </c>
    </row>
    <row hidden="1" r="1129" s="1" spans="1:12">
      <c r="A1129" s="4" t="n">
        <v>43132</v>
      </c>
      <c r="B1129" t="s">
        <v>354</v>
      </c>
      <c r="C1129" t="s">
        <v>50</v>
      </c>
      <c r="D1129" t="s">
        <v>14</v>
      </c>
      <c r="E1129" t="s">
        <v>15</v>
      </c>
      <c r="F1129" t="s">
        <v>16</v>
      </c>
      <c r="G1129" t="s">
        <v>639</v>
      </c>
      <c r="H1129">
        <f>HYPERLINK("https://www.jouwictvacature.nl/solliciteren?job=service-en-support-developer", "Link")</f>
        <v/>
      </c>
      <c r="I1129" t="s">
        <v>17</v>
      </c>
      <c r="J1129" t="s">
        <v>18</v>
      </c>
      <c r="K1129" t="s">
        <v>356</v>
      </c>
      <c r="L1129" t="s">
        <v>640</v>
      </c>
    </row>
    <row hidden="1" r="1130" s="1" spans="1:12">
      <c r="A1130" s="4" t="n">
        <v>43130</v>
      </c>
      <c r="B1130" t="s">
        <v>805</v>
      </c>
      <c r="C1130" t="s">
        <v>806</v>
      </c>
      <c r="D1130" t="s">
        <v>245</v>
      </c>
      <c r="E1130" t="s">
        <v>15</v>
      </c>
      <c r="F1130" t="s">
        <v>16</v>
      </c>
      <c r="G1130" t="s">
        <v>807</v>
      </c>
      <c r="H1130">
        <f>HYPERLINK("https://www.jouwictvacature.nl/solliciteren?job=gedreven-php-developer-met-typo-3-kennis-2", "Link")</f>
        <v/>
      </c>
      <c r="I1130" t="s">
        <v>17</v>
      </c>
      <c r="J1130" t="s">
        <v>18</v>
      </c>
      <c r="K1130" t="s">
        <v>808</v>
      </c>
      <c r="L1130" t="s">
        <v>809</v>
      </c>
    </row>
    <row hidden="1" r="1131" s="1" spans="1:12">
      <c r="A1131" s="4" t="n">
        <v>43129</v>
      </c>
      <c r="B1131" t="s">
        <v>1026</v>
      </c>
      <c r="C1131" t="s">
        <v>1027</v>
      </c>
      <c r="D1131" t="s">
        <v>245</v>
      </c>
      <c r="E1131" t="s">
        <v>15</v>
      </c>
      <c r="F1131" t="s">
        <v>16</v>
      </c>
      <c r="G1131" t="s">
        <v>1028</v>
      </c>
      <c r="H1131">
        <f>HYPERLINK("https://www.jouwictvacature.nl/solliciteren?job=mediorphp-developer-bij-xl-shop-group-", "Link")</f>
        <v/>
      </c>
      <c r="I1131" t="s">
        <v>17</v>
      </c>
      <c r="J1131" t="s">
        <v>18</v>
      </c>
      <c r="K1131" t="s">
        <v>1029</v>
      </c>
      <c r="L1131" t="s">
        <v>1030</v>
      </c>
    </row>
    <row hidden="1" r="1132" s="1" spans="1:12">
      <c r="A1132" s="4" t="n">
        <v>43132</v>
      </c>
      <c r="B1132" t="s">
        <v>1760</v>
      </c>
      <c r="C1132" t="s">
        <v>62</v>
      </c>
      <c r="D1132" t="s">
        <v>245</v>
      </c>
      <c r="E1132" t="s">
        <v>15</v>
      </c>
      <c r="F1132" t="s">
        <v>16</v>
      </c>
      <c r="G1132" t="s">
        <v>1760</v>
      </c>
      <c r="H1132">
        <f>HYPERLINK("https://www.jouwictvacature.nl/solliciteren?job=designer-bij-zeo", "Link")</f>
        <v/>
      </c>
      <c r="I1132" t="s">
        <v>17</v>
      </c>
      <c r="J1132" t="s">
        <v>18</v>
      </c>
      <c r="K1132" t="s">
        <v>1761</v>
      </c>
      <c r="L1132" t="s">
        <v>1762</v>
      </c>
    </row>
    <row hidden="1" r="1133" s="1" spans="1:12">
      <c r="A1133" s="4" t="n">
        <v>43132</v>
      </c>
      <c r="B1133" t="s">
        <v>354</v>
      </c>
      <c r="C1133" t="s">
        <v>50</v>
      </c>
      <c r="D1133" t="s">
        <v>14</v>
      </c>
      <c r="E1133" t="s">
        <v>15</v>
      </c>
      <c r="F1133" t="s">
        <v>16</v>
      </c>
      <c r="G1133" t="s">
        <v>1150</v>
      </c>
      <c r="H1133">
        <f>HYPERLINK("https://www.jouwictvacature.nl/solliciteren?job=php-developer-15", "Link")</f>
        <v/>
      </c>
      <c r="I1133" t="s">
        <v>17</v>
      </c>
      <c r="J1133" t="s">
        <v>18</v>
      </c>
      <c r="K1133" t="s">
        <v>356</v>
      </c>
      <c r="L1133" t="s">
        <v>1151</v>
      </c>
    </row>
    <row hidden="1" r="1134" s="1" spans="1:12">
      <c r="A1134" s="4" t="n">
        <v>43132</v>
      </c>
      <c r="B1134" t="s">
        <v>151</v>
      </c>
      <c r="C1134" t="s">
        <v>152</v>
      </c>
      <c r="D1134" t="s">
        <v>22</v>
      </c>
      <c r="E1134" t="s">
        <v>15</v>
      </c>
      <c r="F1134" t="s">
        <v>28</v>
      </c>
      <c r="G1134" t="s">
        <v>153</v>
      </c>
      <c r="H1134">
        <f>HYPERLINK("https://www.jouwictvacature.nl/solliciteren?job=senior-agile-tester-3", "Link")</f>
        <v/>
      </c>
      <c r="I1134" t="s">
        <v>17</v>
      </c>
      <c r="J1134" t="s">
        <v>18</v>
      </c>
      <c r="K1134" t="s">
        <v>154</v>
      </c>
      <c r="L1134" t="s">
        <v>155</v>
      </c>
    </row>
    <row hidden="1" r="1135" s="1" spans="1:12">
      <c r="A1135" s="4" t="n">
        <v>43132</v>
      </c>
      <c r="B1135" t="s">
        <v>218</v>
      </c>
      <c r="C1135" t="s">
        <v>219</v>
      </c>
      <c r="D1135" t="s">
        <v>22</v>
      </c>
      <c r="E1135" t="s">
        <v>15</v>
      </c>
      <c r="F1135" t="s">
        <v>28</v>
      </c>
      <c r="G1135" t="s">
        <v>1608</v>
      </c>
      <c r="H1135">
        <f>HYPERLINK("https://www.jouwictvacature.nl/solliciteren?job=senior-agile-test-engineer-bij-het-consultancyhuis-bij-het-consultancy", "Link")</f>
        <v/>
      </c>
      <c r="I1135" t="s">
        <v>17</v>
      </c>
      <c r="J1135" t="s">
        <v>18</v>
      </c>
      <c r="K1135" t="s">
        <v>1609</v>
      </c>
      <c r="L1135" t="s">
        <v>1610</v>
      </c>
    </row>
    <row hidden="1" r="1136" s="1" spans="1:12">
      <c r="A1136" s="4" t="n">
        <v>43132</v>
      </c>
      <c r="B1136" t="s">
        <v>450</v>
      </c>
      <c r="C1136" t="s">
        <v>451</v>
      </c>
      <c r="D1136" t="s">
        <v>245</v>
      </c>
      <c r="E1136" t="s">
        <v>15</v>
      </c>
      <c r="F1136" t="s">
        <v>28</v>
      </c>
      <c r="G1136" t="s">
        <v>1763</v>
      </c>
      <c r="H1136">
        <f>HYPERLINK("https://www.jouwictvacature.nl/solliciteren?job=senior-java-developer-gezocht-voor-in-house-functie-te-houten-bij-sofi", "Link")</f>
        <v/>
      </c>
      <c r="I1136" t="s">
        <v>17</v>
      </c>
      <c r="J1136" t="s">
        <v>18</v>
      </c>
      <c r="K1136" t="s">
        <v>777</v>
      </c>
      <c r="L1136" t="s">
        <v>1764</v>
      </c>
    </row>
    <row hidden="1" r="1137" s="1" spans="1:12">
      <c r="A1137" s="4" t="n">
        <v>43132</v>
      </c>
      <c r="B1137" t="s">
        <v>423</v>
      </c>
      <c r="C1137" t="s">
        <v>406</v>
      </c>
      <c r="D1137" t="s">
        <v>245</v>
      </c>
      <c r="E1137" t="s">
        <v>15</v>
      </c>
      <c r="F1137" t="s">
        <v>28</v>
      </c>
      <c r="G1137" t="s">
        <v>1403</v>
      </c>
      <c r="H1137">
        <f>HYPERLINK("https://www.jouwictvacature.nl/solliciteren?job=senior-oracle-fusion-middleware-specialist", "Link")</f>
        <v/>
      </c>
      <c r="I1137" t="s">
        <v>17</v>
      </c>
      <c r="J1137" t="s">
        <v>18</v>
      </c>
      <c r="K1137" t="s">
        <v>1404</v>
      </c>
      <c r="L1137" t="s">
        <v>1405</v>
      </c>
    </row>
    <row r="1138" spans="1:12">
      <c r="A1138" s="4" t="n">
        <v>43132</v>
      </c>
      <c r="B1138" t="s">
        <v>765</v>
      </c>
      <c r="C1138" t="s">
        <v>766</v>
      </c>
      <c r="D1138" t="s">
        <v>22</v>
      </c>
      <c r="E1138" t="s">
        <v>51</v>
      </c>
      <c r="F1138" t="s">
        <v>16</v>
      </c>
      <c r="G1138" t="s">
        <v>765</v>
      </c>
      <c r="H1138">
        <f>HYPERLINK("https://www.jouwictvacature.nl/solliciteren?job=junior-software-engineer-at-asset-control", "Link")</f>
        <v/>
      </c>
      <c r="I1138" t="s">
        <v>17</v>
      </c>
      <c r="J1138" t="s">
        <v>18</v>
      </c>
      <c r="K1138" t="s">
        <v>767</v>
      </c>
      <c r="L1138" t="s">
        <v>1765</v>
      </c>
    </row>
    <row hidden="1" r="1139" s="1" spans="1:12">
      <c r="A1139" s="4" t="n">
        <v>43132</v>
      </c>
      <c r="B1139" t="s">
        <v>678</v>
      </c>
      <c r="C1139" t="s">
        <v>679</v>
      </c>
      <c r="D1139" t="s">
        <v>22</v>
      </c>
      <c r="E1139" t="s">
        <v>15</v>
      </c>
      <c r="F1139" t="s">
        <v>52</v>
      </c>
      <c r="G1139" t="s">
        <v>1766</v>
      </c>
      <c r="H1139">
        <f>HYPERLINK("https://www.jouwictvacature.nl/solliciteren?job=medior-hippocms-developer-", "Link")</f>
        <v/>
      </c>
      <c r="I1139" t="s">
        <v>17</v>
      </c>
      <c r="J1139" t="s">
        <v>18</v>
      </c>
      <c r="K1139" t="s">
        <v>681</v>
      </c>
      <c r="L1139" t="s">
        <v>1767</v>
      </c>
    </row>
    <row hidden="1" r="1140" s="1" spans="1:12">
      <c r="A1140" s="4" t="n">
        <v>43132</v>
      </c>
      <c r="B1140" t="s">
        <v>218</v>
      </c>
      <c r="C1140" t="s">
        <v>219</v>
      </c>
      <c r="D1140" t="s">
        <v>22</v>
      </c>
      <c r="E1140" t="s">
        <v>15</v>
      </c>
      <c r="F1140" t="s">
        <v>16</v>
      </c>
      <c r="G1140" t="s">
        <v>1768</v>
      </c>
      <c r="H1140">
        <f>HYPERLINK("https://www.jouwictvacature.nl/solliciteren?job=ervaren-full-stack-developer-bij-het-consultancyhuis-bij-het-consultan", "Link")</f>
        <v/>
      </c>
      <c r="I1140" t="s">
        <v>17</v>
      </c>
      <c r="J1140" t="s">
        <v>18</v>
      </c>
      <c r="K1140" t="s">
        <v>1769</v>
      </c>
      <c r="L1140" t="s">
        <v>1770</v>
      </c>
    </row>
    <row hidden="1" r="1141" s="1" spans="1:12">
      <c r="A1141" s="4" t="n">
        <v>43132</v>
      </c>
      <c r="B1141" t="s">
        <v>71</v>
      </c>
      <c r="C1141" t="s">
        <v>72</v>
      </c>
      <c r="D1141" t="s">
        <v>22</v>
      </c>
      <c r="E1141" t="s">
        <v>15</v>
      </c>
      <c r="F1141" t="s">
        <v>52</v>
      </c>
      <c r="G1141" t="s">
        <v>101</v>
      </c>
      <c r="H1141">
        <f>HYPERLINK("https://www.jouwictvacature.nl/solliciteren?job=medior-agile-test-specialist-bij-bartosz-bij-bartosz-amsterdam-3", "Link")</f>
        <v/>
      </c>
      <c r="I1141" t="s">
        <v>17</v>
      </c>
      <c r="J1141" t="s">
        <v>18</v>
      </c>
      <c r="K1141" t="s">
        <v>91</v>
      </c>
      <c r="L1141" t="s">
        <v>102</v>
      </c>
    </row>
    <row hidden="1" r="1142" s="1" spans="1:12">
      <c r="A1142" s="4" t="n">
        <v>43132</v>
      </c>
      <c r="B1142" t="s">
        <v>174</v>
      </c>
      <c r="C1142" t="s">
        <v>62</v>
      </c>
      <c r="D1142" t="s">
        <v>22</v>
      </c>
      <c r="E1142" t="s">
        <v>15</v>
      </c>
      <c r="F1142" t="s">
        <v>28</v>
      </c>
      <c r="G1142" t="s">
        <v>1771</v>
      </c>
      <c r="H1142">
        <f>HYPERLINK("https://www.jouwictvacature.nl/solliciteren?job=senior-mobile-developer--ios-android-phonegap-objective-c-java-swift-b", "Link")</f>
        <v/>
      </c>
      <c r="I1142" t="s">
        <v>17</v>
      </c>
      <c r="J1142" t="s">
        <v>18</v>
      </c>
      <c r="K1142" t="s">
        <v>188</v>
      </c>
      <c r="L1142" t="s">
        <v>1772</v>
      </c>
    </row>
    <row hidden="1" r="1143" s="1" spans="1:12">
      <c r="A1143" s="4" t="n">
        <v>43132</v>
      </c>
      <c r="B1143" t="s">
        <v>378</v>
      </c>
      <c r="C1143" t="s">
        <v>309</v>
      </c>
      <c r="D1143" t="s">
        <v>14</v>
      </c>
      <c r="E1143" t="s">
        <v>15</v>
      </c>
      <c r="F1143" t="s">
        <v>16</v>
      </c>
      <c r="G1143" t="s">
        <v>1630</v>
      </c>
      <c r="H1143">
        <f>HYPERLINK("https://www.jouwictvacature.nl/solliciteren?job=stageopdracht-opentaken-bij-opensatisfaction-te-amersfoort", "Link")</f>
        <v/>
      </c>
      <c r="I1143" t="s">
        <v>17</v>
      </c>
      <c r="J1143" t="s">
        <v>18</v>
      </c>
      <c r="K1143" t="s">
        <v>759</v>
      </c>
      <c r="L1143" t="s">
        <v>1631</v>
      </c>
    </row>
    <row hidden="1" r="1144" s="1" spans="1:12">
      <c r="A1144" s="4" t="n">
        <v>43132</v>
      </c>
      <c r="B1144" t="s">
        <v>257</v>
      </c>
      <c r="C1144" t="s">
        <v>13</v>
      </c>
      <c r="D1144" t="s">
        <v>14</v>
      </c>
      <c r="E1144" t="s">
        <v>15</v>
      </c>
      <c r="F1144" t="s">
        <v>52</v>
      </c>
      <c r="G1144" t="s">
        <v>261</v>
      </c>
      <c r="H1144">
        <f>HYPERLINK("https://www.jouwictvacature.nl/solliciteren?job=mediorsenior-net-developer-bij-infent", "Link")</f>
        <v/>
      </c>
      <c r="I1144" t="s">
        <v>17</v>
      </c>
      <c r="J1144" t="s">
        <v>18</v>
      </c>
      <c r="K1144" t="s">
        <v>262</v>
      </c>
      <c r="L1144" t="s">
        <v>263</v>
      </c>
    </row>
    <row hidden="1" r="1145" s="1" spans="1:12">
      <c r="A1145" s="4" t="n">
        <v>43132</v>
      </c>
      <c r="B1145" t="s">
        <v>785</v>
      </c>
      <c r="C1145" t="s">
        <v>522</v>
      </c>
      <c r="D1145" t="s">
        <v>22</v>
      </c>
      <c r="E1145" t="s">
        <v>15</v>
      </c>
      <c r="F1145" t="s">
        <v>16</v>
      </c>
      <c r="G1145" t="s">
        <v>785</v>
      </c>
      <c r="H1145">
        <f>HYPERLINK("https://www.jouwictvacature.nl/solliciteren?job=software-engineer-integratie", "Link")</f>
        <v/>
      </c>
      <c r="I1145" t="s">
        <v>17</v>
      </c>
      <c r="J1145" t="s">
        <v>18</v>
      </c>
      <c r="K1145" t="s">
        <v>786</v>
      </c>
      <c r="L1145" t="s">
        <v>787</v>
      </c>
    </row>
    <row hidden="1" r="1146" s="1" spans="1:12">
      <c r="A1146" s="4" t="n">
        <v>43132</v>
      </c>
      <c r="B1146" t="s">
        <v>455</v>
      </c>
      <c r="C1146" t="s">
        <v>456</v>
      </c>
      <c r="D1146" t="s">
        <v>245</v>
      </c>
      <c r="E1146" t="s">
        <v>15</v>
      </c>
      <c r="F1146" t="s">
        <v>28</v>
      </c>
      <c r="G1146" t="s">
        <v>614</v>
      </c>
      <c r="H1146">
        <f>HYPERLINK("https://www.jouwictvacature.nl/solliciteren?job=medior-net-engineer-bij-sogeti", "Link")</f>
        <v/>
      </c>
      <c r="I1146" t="s">
        <v>17</v>
      </c>
      <c r="J1146" t="s">
        <v>18</v>
      </c>
      <c r="K1146" t="s">
        <v>466</v>
      </c>
      <c r="L1146" t="s">
        <v>615</v>
      </c>
    </row>
    <row hidden="1" r="1147" s="1" spans="1:12">
      <c r="A1147" s="4" t="n">
        <v>43132</v>
      </c>
      <c r="B1147" t="s">
        <v>985</v>
      </c>
      <c r="C1147" t="s">
        <v>986</v>
      </c>
      <c r="D1147" t="s">
        <v>245</v>
      </c>
      <c r="E1147" t="s">
        <v>15</v>
      </c>
      <c r="F1147" t="s">
        <v>16</v>
      </c>
      <c r="G1147" t="s">
        <v>987</v>
      </c>
      <c r="H1147">
        <f>HYPERLINK("https://www.jouwictvacature.nl/solliciteren?job=back-end-mooier-beter-sneller", "Link")</f>
        <v/>
      </c>
      <c r="I1147" t="s">
        <v>17</v>
      </c>
      <c r="J1147" t="s">
        <v>18</v>
      </c>
      <c r="K1147" t="s">
        <v>988</v>
      </c>
      <c r="L1147" t="s">
        <v>989</v>
      </c>
    </row>
    <row hidden="1" r="1148" s="1" spans="1:12">
      <c r="A1148" s="4" t="n">
        <v>43132</v>
      </c>
      <c r="B1148" t="s">
        <v>37</v>
      </c>
      <c r="C1148" t="s">
        <v>38</v>
      </c>
      <c r="D1148" t="s">
        <v>22</v>
      </c>
      <c r="E1148" t="s">
        <v>15</v>
      </c>
      <c r="F1148" t="s">
        <v>52</v>
      </c>
      <c r="G1148" t="s">
        <v>1125</v>
      </c>
      <c r="H1148">
        <f>HYPERLINK("https://www.jouwictvacature.nl/solliciteren?job=medior-javascript-developer-bij-advitrae", "Link")</f>
        <v/>
      </c>
      <c r="I1148" t="s">
        <v>17</v>
      </c>
      <c r="J1148" t="s">
        <v>18</v>
      </c>
      <c r="K1148" t="s">
        <v>40</v>
      </c>
      <c r="L1148" t="s">
        <v>1126</v>
      </c>
    </row>
    <row hidden="1" r="1149" s="1" spans="1:12">
      <c r="A1149" s="4" t="n">
        <v>43132</v>
      </c>
      <c r="B1149" t="s">
        <v>332</v>
      </c>
      <c r="C1149" t="s">
        <v>333</v>
      </c>
      <c r="D1149" t="s">
        <v>14</v>
      </c>
      <c r="E1149" t="s">
        <v>15</v>
      </c>
      <c r="F1149" t="s">
        <v>52</v>
      </c>
      <c r="G1149" t="s">
        <v>337</v>
      </c>
      <c r="H1149">
        <f>HYPERLINK("https://www.jouwictvacature.nl/solliciteren?job=medior-net-ontwikkelaar-5", "Link")</f>
        <v/>
      </c>
      <c r="I1149" t="s">
        <v>17</v>
      </c>
      <c r="J1149" t="s">
        <v>18</v>
      </c>
      <c r="K1149" t="s">
        <v>335</v>
      </c>
      <c r="L1149" t="s">
        <v>338</v>
      </c>
    </row>
    <row hidden="1" r="1150" s="1" spans="1:12">
      <c r="A1150" s="4" t="n">
        <v>43132</v>
      </c>
      <c r="B1150" t="s">
        <v>49</v>
      </c>
      <c r="C1150" t="s">
        <v>50</v>
      </c>
      <c r="D1150" t="s">
        <v>22</v>
      </c>
      <c r="E1150" t="s">
        <v>15</v>
      </c>
      <c r="F1150" t="s">
        <v>52</v>
      </c>
      <c r="G1150" t="s">
        <v>318</v>
      </c>
      <c r="H1150">
        <f>HYPERLINK("https://www.jouwictvacature.nl/solliciteren?job=medior-front-end-developer-", "Link")</f>
        <v/>
      </c>
      <c r="I1150" t="s">
        <v>17</v>
      </c>
      <c r="J1150" t="s">
        <v>18</v>
      </c>
      <c r="K1150" t="s">
        <v>1249</v>
      </c>
      <c r="L1150" t="s">
        <v>1773</v>
      </c>
    </row>
    <row r="1151" spans="1:12">
      <c r="A1151" s="4" t="n">
        <v>43132</v>
      </c>
      <c r="B1151" t="s">
        <v>49</v>
      </c>
      <c r="C1151" t="s">
        <v>50</v>
      </c>
      <c r="D1151" t="s">
        <v>22</v>
      </c>
      <c r="E1151" t="s">
        <v>51</v>
      </c>
      <c r="F1151" t="s">
        <v>34</v>
      </c>
      <c r="G1151" t="s">
        <v>1682</v>
      </c>
      <c r="H1151">
        <f>HYPERLINK("https://www.jouwictvacature.nl/solliciteren?job=junior-allround-developer-bij-asamco-bv", "Link")</f>
        <v/>
      </c>
      <c r="I1151" t="s">
        <v>17</v>
      </c>
      <c r="J1151" t="s">
        <v>18</v>
      </c>
      <c r="K1151" t="s">
        <v>59</v>
      </c>
      <c r="L1151" t="s">
        <v>1683</v>
      </c>
    </row>
    <row hidden="1" r="1152" s="1" spans="1:12">
      <c r="A1152" s="4" t="n">
        <v>43132</v>
      </c>
      <c r="B1152" t="s">
        <v>455</v>
      </c>
      <c r="C1152" t="s">
        <v>309</v>
      </c>
      <c r="D1152" t="s">
        <v>245</v>
      </c>
      <c r="E1152" t="s">
        <v>15</v>
      </c>
      <c r="F1152" t="s">
        <v>16</v>
      </c>
      <c r="G1152" t="s">
        <v>1231</v>
      </c>
      <c r="H1152">
        <f>HYPERLINK("https://www.jouwictvacature.nl/solliciteren?job=senior-net-engineer-bij-sogeti-2", "Link")</f>
        <v/>
      </c>
      <c r="I1152" t="s">
        <v>17</v>
      </c>
      <c r="J1152" t="s">
        <v>18</v>
      </c>
      <c r="K1152" t="s">
        <v>466</v>
      </c>
      <c r="L1152" t="s">
        <v>1232</v>
      </c>
    </row>
    <row hidden="1" r="1153" s="1" spans="1:12">
      <c r="A1153" s="4" t="n">
        <v>43132</v>
      </c>
      <c r="B1153" t="s">
        <v>142</v>
      </c>
      <c r="C1153" t="s">
        <v>143</v>
      </c>
      <c r="D1153" t="s">
        <v>22</v>
      </c>
      <c r="E1153" t="s">
        <v>15</v>
      </c>
      <c r="F1153" t="s">
        <v>52</v>
      </c>
      <c r="G1153" t="s">
        <v>1664</v>
      </c>
      <c r="H1153">
        <f>HYPERLINK("https://www.jouwictvacature.nl/solliciteren?job=medior-full-stack-developer-bij-coas", "Link")</f>
        <v/>
      </c>
      <c r="I1153" t="s">
        <v>17</v>
      </c>
      <c r="J1153" t="s">
        <v>18</v>
      </c>
      <c r="K1153" t="s">
        <v>145</v>
      </c>
      <c r="L1153" t="s">
        <v>1665</v>
      </c>
    </row>
    <row hidden="1" r="1154" s="1" spans="1:12">
      <c r="A1154" s="4" t="n">
        <v>43132</v>
      </c>
      <c r="B1154" t="s">
        <v>1360</v>
      </c>
      <c r="C1154" t="s">
        <v>1361</v>
      </c>
      <c r="D1154" t="s">
        <v>22</v>
      </c>
      <c r="E1154" t="s">
        <v>15</v>
      </c>
      <c r="F1154" t="s">
        <v>28</v>
      </c>
      <c r="G1154" t="s">
        <v>1774</v>
      </c>
      <c r="H1154">
        <f>HYPERLINK("https://www.jouwictvacature.nl/solliciteren?job=senior-back-end-developer-bij-deepdata-bij-deepdata", "Link")</f>
        <v/>
      </c>
      <c r="I1154" t="s">
        <v>17</v>
      </c>
      <c r="J1154" t="s">
        <v>18</v>
      </c>
      <c r="K1154" t="s">
        <v>1775</v>
      </c>
      <c r="L1154" t="s">
        <v>1776</v>
      </c>
    </row>
    <row hidden="1" r="1155" s="1" spans="1:12">
      <c r="A1155" s="4" t="n">
        <v>43132</v>
      </c>
      <c r="B1155" t="s">
        <v>317</v>
      </c>
      <c r="C1155" t="s">
        <v>45</v>
      </c>
      <c r="D1155" t="s">
        <v>14</v>
      </c>
      <c r="E1155" t="s">
        <v>15</v>
      </c>
      <c r="F1155" t="s">
        <v>34</v>
      </c>
      <c r="G1155" t="s">
        <v>363</v>
      </c>
      <c r="H1155">
        <f>HYPERLINK("https://www.jouwictvacature.nl/solliciteren?job=junior-javascript-developer-3", "Link")</f>
        <v/>
      </c>
      <c r="I1155" t="s">
        <v>17</v>
      </c>
      <c r="J1155" t="s">
        <v>18</v>
      </c>
      <c r="K1155" t="s">
        <v>319</v>
      </c>
      <c r="L1155" t="s">
        <v>1025</v>
      </c>
    </row>
    <row hidden="1" r="1156" s="1" spans="1:12">
      <c r="A1156" s="4" t="n">
        <v>43132</v>
      </c>
      <c r="B1156" t="s">
        <v>585</v>
      </c>
      <c r="C1156" t="s">
        <v>586</v>
      </c>
      <c r="D1156" t="s">
        <v>245</v>
      </c>
      <c r="E1156" t="s">
        <v>15</v>
      </c>
      <c r="F1156" t="s">
        <v>28</v>
      </c>
      <c r="G1156" t="s">
        <v>587</v>
      </c>
      <c r="H1156">
        <f>HYPERLINK("https://www.jouwictvacature.nl/solliciteren?job=gedreven-php-webontwikkelaar-medior-", "Link")</f>
        <v/>
      </c>
      <c r="I1156" t="s">
        <v>17</v>
      </c>
      <c r="J1156" t="s">
        <v>18</v>
      </c>
      <c r="K1156" t="s">
        <v>588</v>
      </c>
      <c r="L1156" t="s">
        <v>589</v>
      </c>
    </row>
    <row hidden="1" r="1157" s="1" spans="1:12">
      <c r="A1157" s="4" t="n">
        <v>43132</v>
      </c>
      <c r="B1157" t="s">
        <v>293</v>
      </c>
      <c r="C1157" t="s">
        <v>294</v>
      </c>
      <c r="D1157" t="s">
        <v>14</v>
      </c>
      <c r="E1157" t="s">
        <v>15</v>
      </c>
      <c r="F1157" t="s">
        <v>34</v>
      </c>
      <c r="G1157" t="s">
        <v>298</v>
      </c>
      <c r="H1157">
        <f>HYPERLINK("https://www.jouwictvacature.nl/solliciteren?job=junior-php-developer--fulltime-bij-koekenpeer", "Link")</f>
        <v/>
      </c>
      <c r="I1157" t="s">
        <v>17</v>
      </c>
      <c r="J1157" t="s">
        <v>18</v>
      </c>
      <c r="K1157" t="s">
        <v>299</v>
      </c>
      <c r="L1157" t="s">
        <v>300</v>
      </c>
    </row>
    <row hidden="1" r="1158" s="1" spans="1:12">
      <c r="A1158" s="4" t="n">
        <v>43132</v>
      </c>
      <c r="B1158" t="s">
        <v>878</v>
      </c>
      <c r="C1158" t="s">
        <v>1670</v>
      </c>
      <c r="D1158" t="s">
        <v>22</v>
      </c>
      <c r="E1158" t="s">
        <v>15</v>
      </c>
      <c r="F1158" t="s">
        <v>52</v>
      </c>
      <c r="G1158" t="s">
        <v>301</v>
      </c>
      <c r="H1158">
        <f>HYPERLINK("https://www.jouwictvacature.nl/solliciteren?job=medior-php-developer-bij-divtag", "Link")</f>
        <v/>
      </c>
      <c r="I1158" t="s">
        <v>17</v>
      </c>
      <c r="J1158" t="s">
        <v>18</v>
      </c>
      <c r="K1158" t="s">
        <v>879</v>
      </c>
      <c r="L1158" t="s">
        <v>880</v>
      </c>
    </row>
    <row hidden="1" r="1159" s="1" spans="1:12">
      <c r="A1159" s="4" t="n">
        <v>43132</v>
      </c>
      <c r="B1159" t="s">
        <v>49</v>
      </c>
      <c r="C1159" t="s">
        <v>50</v>
      </c>
      <c r="D1159" t="s">
        <v>22</v>
      </c>
      <c r="E1159" t="s">
        <v>15</v>
      </c>
      <c r="F1159" t="s">
        <v>16</v>
      </c>
      <c r="G1159" t="s">
        <v>1582</v>
      </c>
      <c r="H1159">
        <f>HYPERLINK("https://www.jouwictvacature.nl/solliciteren?job=allround-developer-3", "Link")</f>
        <v/>
      </c>
      <c r="I1159" t="s">
        <v>17</v>
      </c>
      <c r="J1159" t="s">
        <v>18</v>
      </c>
      <c r="K1159" t="s">
        <v>1247</v>
      </c>
      <c r="L1159" t="s">
        <v>1583</v>
      </c>
    </row>
    <row hidden="1" r="1160" s="1" spans="1:12">
      <c r="A1160" s="4" t="n">
        <v>43132</v>
      </c>
      <c r="B1160" t="s">
        <v>805</v>
      </c>
      <c r="C1160" t="s">
        <v>806</v>
      </c>
      <c r="D1160" t="s">
        <v>245</v>
      </c>
      <c r="E1160" t="s">
        <v>15</v>
      </c>
      <c r="F1160" t="s">
        <v>16</v>
      </c>
      <c r="G1160" t="s">
        <v>807</v>
      </c>
      <c r="H1160">
        <f>HYPERLINK("https://www.jouwictvacature.nl/solliciteren?job=gedreven-php-developer-met-typo-3-kennis-2", "Link")</f>
        <v/>
      </c>
      <c r="I1160" t="s">
        <v>17</v>
      </c>
      <c r="J1160" t="s">
        <v>18</v>
      </c>
      <c r="K1160" t="s">
        <v>808</v>
      </c>
      <c r="L1160" t="s">
        <v>809</v>
      </c>
    </row>
    <row hidden="1" r="1161" s="1" spans="1:12">
      <c r="A1161" s="4" t="n">
        <v>43132</v>
      </c>
      <c r="B1161" t="s">
        <v>1134</v>
      </c>
      <c r="C1161" t="s">
        <v>80</v>
      </c>
      <c r="D1161" t="s">
        <v>245</v>
      </c>
      <c r="E1161" t="s">
        <v>15</v>
      </c>
      <c r="F1161" t="s">
        <v>16</v>
      </c>
      <c r="G1161" t="s">
        <v>1135</v>
      </c>
      <c r="H1161">
        <f>HYPERLINK("https://www.jouwictvacature.nl/solliciteren?job=php-webdeveloper-bij-uselab", "Link")</f>
        <v/>
      </c>
      <c r="I1161" t="s">
        <v>17</v>
      </c>
      <c r="J1161" t="s">
        <v>18</v>
      </c>
      <c r="K1161" t="s">
        <v>1136</v>
      </c>
      <c r="L1161" t="s">
        <v>1137</v>
      </c>
    </row>
    <row hidden="1" r="1162" s="1" spans="1:12">
      <c r="A1162" s="4" t="n">
        <v>43132</v>
      </c>
      <c r="B1162" t="s">
        <v>354</v>
      </c>
      <c r="C1162" t="s">
        <v>50</v>
      </c>
      <c r="D1162" t="s">
        <v>14</v>
      </c>
      <c r="E1162" t="s">
        <v>15</v>
      </c>
      <c r="F1162" t="s">
        <v>52</v>
      </c>
      <c r="G1162" t="s">
        <v>1777</v>
      </c>
      <c r="H1162">
        <f>HYPERLINK("https://www.jouwictvacature.nl/solliciteren?job=medior-drupal-developer", "Link")</f>
        <v/>
      </c>
      <c r="I1162" t="s">
        <v>17</v>
      </c>
      <c r="J1162" t="s">
        <v>18</v>
      </c>
      <c r="K1162" t="s">
        <v>1451</v>
      </c>
      <c r="L1162" t="s">
        <v>1778</v>
      </c>
    </row>
    <row hidden="1" r="1163" s="1" spans="1:12">
      <c r="A1163" s="4" t="n">
        <v>43132</v>
      </c>
      <c r="B1163" t="s">
        <v>378</v>
      </c>
      <c r="C1163" t="s">
        <v>309</v>
      </c>
      <c r="D1163" t="s">
        <v>14</v>
      </c>
      <c r="E1163" t="s">
        <v>15</v>
      </c>
      <c r="F1163" t="s">
        <v>16</v>
      </c>
      <c r="G1163" t="s">
        <v>758</v>
      </c>
      <c r="H1163">
        <f>HYPERLINK("https://www.jouwictvacature.nl/solliciteren?job=stageopdracht-applicatie-ontwikkeling-bij-opensatisfaction", "Link")</f>
        <v/>
      </c>
      <c r="I1163" t="s">
        <v>17</v>
      </c>
      <c r="J1163" t="s">
        <v>18</v>
      </c>
      <c r="K1163" t="s">
        <v>759</v>
      </c>
      <c r="L1163" t="s">
        <v>760</v>
      </c>
    </row>
    <row hidden="1" r="1164" s="1" spans="1:12">
      <c r="A1164" s="4" t="n">
        <v>43132</v>
      </c>
      <c r="B1164" t="s">
        <v>164</v>
      </c>
      <c r="C1164" t="s">
        <v>80</v>
      </c>
      <c r="D1164" t="s">
        <v>22</v>
      </c>
      <c r="E1164" t="s">
        <v>15</v>
      </c>
      <c r="F1164" t="s">
        <v>52</v>
      </c>
      <c r="G1164" t="s">
        <v>171</v>
      </c>
      <c r="H1164">
        <f>HYPERLINK("https://www.jouwictvacature.nl/solliciteren?job=medior-mobile-developer-in-amsterdam--iot-android-ios-iphone-sdk-bij-d", "Link")</f>
        <v/>
      </c>
      <c r="I1164" t="s">
        <v>17</v>
      </c>
      <c r="J1164" t="s">
        <v>18</v>
      </c>
      <c r="K1164" t="s">
        <v>172</v>
      </c>
      <c r="L1164" t="s">
        <v>173</v>
      </c>
    </row>
    <row r="1165" spans="1:12">
      <c r="A1165" s="4" t="n">
        <v>43132</v>
      </c>
      <c r="B1165" t="s">
        <v>1399</v>
      </c>
      <c r="C1165" t="s">
        <v>309</v>
      </c>
      <c r="D1165" t="s">
        <v>22</v>
      </c>
      <c r="E1165" t="s">
        <v>51</v>
      </c>
      <c r="F1165" t="s">
        <v>16</v>
      </c>
      <c r="G1165" t="s">
        <v>1779</v>
      </c>
      <c r="H1165">
        <f>HYPERLINK("https://www.jouwictvacature.nl/solliciteren?job=software-developer--jee-spring-hibernate-maven-jboss-bij-msg-life-bene", "Link")</f>
        <v/>
      </c>
      <c r="I1165" t="s">
        <v>17</v>
      </c>
      <c r="J1165" t="s">
        <v>18</v>
      </c>
      <c r="K1165" t="s">
        <v>1780</v>
      </c>
      <c r="L1165" t="s">
        <v>1781</v>
      </c>
    </row>
    <row hidden="1" r="1166" s="1" spans="1:12">
      <c r="A1166" s="4" t="n">
        <v>43132</v>
      </c>
      <c r="B1166" t="s">
        <v>71</v>
      </c>
      <c r="C1166" t="s">
        <v>80</v>
      </c>
      <c r="D1166" t="s">
        <v>22</v>
      </c>
      <c r="E1166" t="s">
        <v>15</v>
      </c>
      <c r="F1166" t="s">
        <v>34</v>
      </c>
      <c r="G1166" t="s">
        <v>97</v>
      </c>
      <c r="H1166">
        <f>HYPERLINK("https://www.jouwictvacature.nl/solliciteren?job=junior-testanalist-bij-bartosz", "Link")</f>
        <v/>
      </c>
      <c r="I1166" t="s">
        <v>17</v>
      </c>
      <c r="J1166" t="s">
        <v>18</v>
      </c>
      <c r="K1166" t="s">
        <v>95</v>
      </c>
      <c r="L1166" t="s">
        <v>103</v>
      </c>
    </row>
    <row r="1167" spans="1:12">
      <c r="A1167" s="4" t="n">
        <v>43132</v>
      </c>
      <c r="B1167" t="s">
        <v>156</v>
      </c>
      <c r="C1167" t="s">
        <v>157</v>
      </c>
      <c r="D1167" t="s">
        <v>22</v>
      </c>
      <c r="E1167" t="s">
        <v>51</v>
      </c>
      <c r="F1167" t="s">
        <v>16</v>
      </c>
      <c r="G1167" t="s">
        <v>161</v>
      </c>
      <c r="H1167">
        <f>HYPERLINK("https://www.jouwictvacature.nl/solliciteren?job=solution-architect-2", "Link")</f>
        <v/>
      </c>
      <c r="I1167" t="s">
        <v>17</v>
      </c>
      <c r="J1167" t="s">
        <v>18</v>
      </c>
      <c r="K1167" t="s">
        <v>162</v>
      </c>
      <c r="L1167" t="s">
        <v>163</v>
      </c>
    </row>
    <row hidden="1" r="1168" s="1" spans="1:12">
      <c r="A1168" s="4" t="n">
        <v>43132</v>
      </c>
      <c r="B1168" t="s">
        <v>521</v>
      </c>
      <c r="C1168" t="s">
        <v>522</v>
      </c>
      <c r="D1168" t="s">
        <v>245</v>
      </c>
      <c r="E1168" t="s">
        <v>15</v>
      </c>
      <c r="F1168" t="s">
        <v>16</v>
      </c>
      <c r="G1168" t="s">
        <v>523</v>
      </c>
      <c r="H1168">
        <f>HYPERLINK("https://www.jouwictvacature.nl/solliciteren?job=ervaren-back-end-developer--allround-programmeur", "Link")</f>
        <v/>
      </c>
      <c r="I1168" t="s">
        <v>17</v>
      </c>
      <c r="J1168" t="s">
        <v>18</v>
      </c>
      <c r="K1168" t="s">
        <v>524</v>
      </c>
      <c r="L1168" t="s">
        <v>525</v>
      </c>
    </row>
    <row hidden="1" r="1169" s="1" spans="1:12">
      <c r="A1169" s="4" t="n">
        <v>43132</v>
      </c>
      <c r="B1169" t="s">
        <v>174</v>
      </c>
      <c r="C1169" t="s">
        <v>80</v>
      </c>
      <c r="D1169" t="s">
        <v>22</v>
      </c>
      <c r="E1169" t="s">
        <v>15</v>
      </c>
      <c r="F1169" t="s">
        <v>28</v>
      </c>
      <c r="G1169" t="s">
        <v>1782</v>
      </c>
      <c r="H1169">
        <f>HYPERLINK("https://www.jouwictvacature.nl/solliciteren?job=senior-java-developer--hibernate-jpa-spring-mvc-oracle-bij-dpa-geos", "Link")</f>
        <v/>
      </c>
      <c r="I1169" t="s">
        <v>17</v>
      </c>
      <c r="J1169" t="s">
        <v>18</v>
      </c>
      <c r="K1169" t="s">
        <v>179</v>
      </c>
      <c r="L1169" t="s">
        <v>1783</v>
      </c>
    </row>
    <row hidden="1" r="1170" s="1" spans="1:12">
      <c r="A1170" s="4" t="n">
        <v>43132</v>
      </c>
      <c r="B1170" t="s">
        <v>71</v>
      </c>
      <c r="C1170" t="s">
        <v>93</v>
      </c>
      <c r="D1170" t="s">
        <v>22</v>
      </c>
      <c r="E1170" t="s">
        <v>15</v>
      </c>
      <c r="F1170" t="s">
        <v>34</v>
      </c>
      <c r="G1170" t="s">
        <v>1784</v>
      </c>
      <c r="H1170">
        <f>HYPERLINK("https://www.jouwictvacature.nl/solliciteren?job=junior-testanalist-bij-bartosz-bij-bartosz-rotterdam", "Link")</f>
        <v/>
      </c>
      <c r="I1170" t="s">
        <v>17</v>
      </c>
      <c r="J1170" t="s">
        <v>18</v>
      </c>
      <c r="K1170" t="s">
        <v>95</v>
      </c>
      <c r="L1170" t="s">
        <v>1785</v>
      </c>
    </row>
    <row hidden="1" r="1171" s="1" spans="1:12">
      <c r="A1171" s="4" t="n">
        <v>43132</v>
      </c>
      <c r="B1171" t="s">
        <v>972</v>
      </c>
      <c r="C1171" t="s">
        <v>973</v>
      </c>
      <c r="D1171" t="s">
        <v>14</v>
      </c>
      <c r="E1171" t="s">
        <v>15</v>
      </c>
      <c r="F1171" t="s">
        <v>16</v>
      </c>
      <c r="G1171" t="s">
        <v>972</v>
      </c>
      <c r="H1171">
        <f>HYPERLINK("https://www.jouwictvacature.nl/solliciteren?job=software-engineer-5", "Link")</f>
        <v/>
      </c>
      <c r="I1171" t="s">
        <v>17</v>
      </c>
      <c r="J1171" t="s">
        <v>18</v>
      </c>
      <c r="K1171" t="s">
        <v>974</v>
      </c>
      <c r="L1171" t="s">
        <v>975</v>
      </c>
    </row>
    <row hidden="1" r="1172" s="1" spans="1:12">
      <c r="A1172" s="4" t="n">
        <v>43132</v>
      </c>
      <c r="B1172" t="s">
        <v>71</v>
      </c>
      <c r="C1172" t="s">
        <v>62</v>
      </c>
      <c r="D1172" t="s">
        <v>22</v>
      </c>
      <c r="E1172" t="s">
        <v>15</v>
      </c>
      <c r="F1172" t="s">
        <v>52</v>
      </c>
      <c r="G1172" t="s">
        <v>1634</v>
      </c>
      <c r="H1172">
        <f>HYPERLINK("https://www.jouwictvacature.nl/solliciteren?job=medior-feedback-engineer-bij-bartosz-bij-bartosz-utrecht", "Link")</f>
        <v/>
      </c>
      <c r="I1172" t="s">
        <v>17</v>
      </c>
      <c r="J1172" t="s">
        <v>18</v>
      </c>
      <c r="K1172" t="s">
        <v>78</v>
      </c>
      <c r="L1172" t="s">
        <v>1786</v>
      </c>
    </row>
    <row hidden="1" r="1173" s="1" spans="1:12">
      <c r="A1173" s="4" t="n">
        <v>43132</v>
      </c>
      <c r="B1173" t="s">
        <v>104</v>
      </c>
      <c r="C1173" t="s">
        <v>80</v>
      </c>
      <c r="D1173" t="s">
        <v>22</v>
      </c>
      <c r="E1173" t="s">
        <v>15</v>
      </c>
      <c r="F1173" t="s">
        <v>16</v>
      </c>
      <c r="G1173" t="s">
        <v>104</v>
      </c>
      <c r="H1173">
        <f>HYPERLINK("https://www.jouwictvacature.nl/solliciteren?job=junior-net-ontwikkelaar-bij-betabit-regio-utrecht", "Link")</f>
        <v/>
      </c>
      <c r="I1173" t="s">
        <v>17</v>
      </c>
      <c r="J1173" t="s">
        <v>18</v>
      </c>
      <c r="K1173" t="s">
        <v>107</v>
      </c>
      <c r="L1173" t="s">
        <v>108</v>
      </c>
    </row>
    <row hidden="1" r="1174" s="1" spans="1:12">
      <c r="A1174" s="4" t="n">
        <v>43132</v>
      </c>
      <c r="B1174" t="s">
        <v>391</v>
      </c>
      <c r="C1174" t="s">
        <v>392</v>
      </c>
      <c r="D1174" t="s">
        <v>14</v>
      </c>
      <c r="E1174" t="s">
        <v>15</v>
      </c>
      <c r="F1174" t="s">
        <v>16</v>
      </c>
      <c r="G1174" t="s">
        <v>1351</v>
      </c>
      <c r="H1174">
        <f>HYPERLINK("https://www.jouwictvacature.nl/solliciteren?job=technical-lead-c-aspnet-mvc-bij-paralax-", "Link")</f>
        <v/>
      </c>
      <c r="I1174" t="s">
        <v>17</v>
      </c>
      <c r="J1174" t="s">
        <v>18</v>
      </c>
      <c r="K1174" t="s">
        <v>394</v>
      </c>
      <c r="L1174" t="s">
        <v>1352</v>
      </c>
    </row>
    <row hidden="1" r="1175" s="1" spans="1:12">
      <c r="A1175" s="4" t="n">
        <v>43132</v>
      </c>
      <c r="B1175" t="s">
        <v>257</v>
      </c>
      <c r="C1175" t="s">
        <v>13</v>
      </c>
      <c r="D1175" t="s">
        <v>14</v>
      </c>
      <c r="E1175" t="s">
        <v>15</v>
      </c>
      <c r="F1175" t="s">
        <v>52</v>
      </c>
      <c r="G1175" t="s">
        <v>264</v>
      </c>
      <c r="H1175">
        <f>HYPERLINK("https://www.jouwictvacature.nl/solliciteren?job=medior-net-developer-met-communicatieve-skills", "Link")</f>
        <v/>
      </c>
      <c r="I1175" t="s">
        <v>17</v>
      </c>
      <c r="J1175" t="s">
        <v>18</v>
      </c>
      <c r="K1175" t="s">
        <v>259</v>
      </c>
      <c r="L1175" t="s">
        <v>265</v>
      </c>
    </row>
    <row hidden="1" r="1176" s="1" spans="1:12">
      <c r="A1176" s="4" t="n">
        <v>43132</v>
      </c>
      <c r="B1176" t="s">
        <v>618</v>
      </c>
      <c r="C1176" t="s">
        <v>619</v>
      </c>
      <c r="D1176" t="s">
        <v>22</v>
      </c>
      <c r="E1176" t="s">
        <v>15</v>
      </c>
      <c r="F1176" t="s">
        <v>16</v>
      </c>
      <c r="G1176" t="s">
        <v>620</v>
      </c>
      <c r="H1176">
        <f>HYPERLINK("https://www.jouwictvacature.nl/solliciteren?job=ambitieuze-developer-net-applicaties-voor-mooie-klanten-als-de-eftelin", "Link")</f>
        <v/>
      </c>
      <c r="I1176" t="s">
        <v>17</v>
      </c>
      <c r="J1176" t="s">
        <v>18</v>
      </c>
      <c r="K1176" t="s">
        <v>621</v>
      </c>
      <c r="L1176" t="s">
        <v>622</v>
      </c>
    </row>
    <row hidden="1" r="1177" s="1" spans="1:12">
      <c r="A1177" s="4" t="n">
        <v>43132</v>
      </c>
      <c r="B1177" t="s">
        <v>109</v>
      </c>
      <c r="C1177" t="s">
        <v>80</v>
      </c>
      <c r="D1177" t="s">
        <v>22</v>
      </c>
      <c r="E1177" t="s">
        <v>15</v>
      </c>
      <c r="F1177" t="s">
        <v>16</v>
      </c>
      <c r="G1177" t="s">
        <v>109</v>
      </c>
      <c r="H1177">
        <f>HYPERLINK("https://www.jouwictvacature.nl/solliciteren?job=senior-net-developer-met-communicatieve-vaardigheden", "Link")</f>
        <v/>
      </c>
      <c r="I1177" t="s">
        <v>17</v>
      </c>
      <c r="J1177" t="s">
        <v>18</v>
      </c>
      <c r="K1177" t="s">
        <v>110</v>
      </c>
      <c r="L1177" t="s">
        <v>700</v>
      </c>
    </row>
    <row hidden="1" r="1178" s="1" spans="1:12">
      <c r="A1178" s="4" t="n">
        <v>43132</v>
      </c>
      <c r="B1178" t="s">
        <v>132</v>
      </c>
      <c r="C1178" t="s">
        <v>93</v>
      </c>
      <c r="D1178" t="s">
        <v>22</v>
      </c>
      <c r="E1178" t="s">
        <v>15</v>
      </c>
      <c r="F1178" t="s">
        <v>52</v>
      </c>
      <c r="G1178" t="s">
        <v>1787</v>
      </c>
      <c r="H1178">
        <f>HYPERLINK("https://www.jouwictvacature.nl/solliciteren?job=senior-net-developer-bij-ce-fintech-bv", "Link")</f>
        <v/>
      </c>
      <c r="I1178" t="s">
        <v>17</v>
      </c>
      <c r="J1178" t="s">
        <v>18</v>
      </c>
      <c r="K1178" t="s">
        <v>1788</v>
      </c>
      <c r="L1178" t="s">
        <v>1789</v>
      </c>
    </row>
    <row hidden="1" r="1179" s="1" spans="1:12">
      <c r="A1179" s="4" t="n">
        <v>43132</v>
      </c>
      <c r="B1179" t="s">
        <v>1068</v>
      </c>
      <c r="C1179" t="s">
        <v>197</v>
      </c>
      <c r="D1179" t="s">
        <v>245</v>
      </c>
      <c r="E1179" t="s">
        <v>15</v>
      </c>
      <c r="F1179" t="s">
        <v>16</v>
      </c>
      <c r="G1179" t="s">
        <v>1790</v>
      </c>
      <c r="H1179">
        <f>HYPERLINK("https://www.jouwictvacature.nl/solliciteren?job=ervaren-net-developer-bij-searchdog-inhouse", "Link")</f>
        <v/>
      </c>
      <c r="I1179" t="s">
        <v>17</v>
      </c>
      <c r="J1179" t="s">
        <v>18</v>
      </c>
      <c r="K1179" t="s">
        <v>1070</v>
      </c>
      <c r="L1179" t="s">
        <v>1791</v>
      </c>
    </row>
    <row hidden="1" r="1180" s="1" spans="1:12">
      <c r="A1180" s="4" t="n">
        <v>43132</v>
      </c>
      <c r="B1180" t="s">
        <v>109</v>
      </c>
      <c r="C1180" t="s">
        <v>112</v>
      </c>
      <c r="D1180" t="s">
        <v>22</v>
      </c>
      <c r="E1180" t="s">
        <v>15</v>
      </c>
      <c r="F1180" t="s">
        <v>16</v>
      </c>
      <c r="G1180" t="s">
        <v>109</v>
      </c>
      <c r="H1180">
        <f>HYPERLINK("https://www.jouwictvacature.nl/solliciteren?job=medior-net-developer-bij-bloemert-groep", "Link")</f>
        <v/>
      </c>
      <c r="I1180" t="s">
        <v>17</v>
      </c>
      <c r="J1180" t="s">
        <v>18</v>
      </c>
      <c r="K1180" t="s">
        <v>113</v>
      </c>
      <c r="L1180" t="s">
        <v>114</v>
      </c>
    </row>
    <row hidden="1" r="1181" s="1" spans="1:12">
      <c r="A1181" s="4" t="n">
        <v>43132</v>
      </c>
      <c r="B1181" t="s">
        <v>405</v>
      </c>
      <c r="C1181" t="s">
        <v>412</v>
      </c>
      <c r="D1181" t="s">
        <v>14</v>
      </c>
      <c r="E1181" t="s">
        <v>15</v>
      </c>
      <c r="F1181" t="s">
        <v>16</v>
      </c>
      <c r="G1181" t="s">
        <v>405</v>
      </c>
      <c r="H1181">
        <f>HYPERLINK("https://www.jouwictvacature.nl/solliciteren?job=medior-microsoft-dynamics-ax-developer-bij-prodware-2", "Link")</f>
        <v/>
      </c>
      <c r="I1181" t="s">
        <v>17</v>
      </c>
      <c r="J1181" t="s">
        <v>18</v>
      </c>
      <c r="K1181" t="s">
        <v>415</v>
      </c>
      <c r="L1181" t="s">
        <v>416</v>
      </c>
    </row>
    <row hidden="1" r="1182" s="1" spans="1:12">
      <c r="A1182" s="4" t="n">
        <v>43132</v>
      </c>
      <c r="B1182" t="s">
        <v>1000</v>
      </c>
      <c r="C1182" t="s">
        <v>1001</v>
      </c>
      <c r="D1182" t="s">
        <v>22</v>
      </c>
      <c r="E1182" t="s">
        <v>15</v>
      </c>
      <c r="F1182" t="s">
        <v>16</v>
      </c>
      <c r="G1182" t="s">
        <v>1000</v>
      </c>
      <c r="H1182">
        <f>HYPERLINK("https://www.jouwictvacature.nl/solliciteren?job=backend-software-developer-bij-bwaste-international-bv-in-eefde", "Link")</f>
        <v/>
      </c>
      <c r="I1182" t="s">
        <v>17</v>
      </c>
      <c r="J1182" t="s">
        <v>18</v>
      </c>
      <c r="K1182" t="s">
        <v>1002</v>
      </c>
      <c r="L1182" t="s">
        <v>1003</v>
      </c>
    </row>
    <row hidden="1" r="1183" s="1" spans="1:12">
      <c r="A1183" s="4" t="n">
        <v>43132</v>
      </c>
      <c r="B1183" t="s">
        <v>1731</v>
      </c>
      <c r="C1183" t="s">
        <v>93</v>
      </c>
      <c r="D1183" t="s">
        <v>245</v>
      </c>
      <c r="E1183" t="s">
        <v>15</v>
      </c>
      <c r="F1183" t="s">
        <v>28</v>
      </c>
      <c r="G1183" t="s">
        <v>1792</v>
      </c>
      <c r="H1183">
        <f>HYPERLINK("https://www.jouwictvacature.nl/solliciteren?job=senior-drupal-developer", "Link")</f>
        <v/>
      </c>
      <c r="I1183" t="s">
        <v>17</v>
      </c>
      <c r="J1183" t="s">
        <v>18</v>
      </c>
      <c r="K1183" t="s">
        <v>1733</v>
      </c>
      <c r="L1183" t="s">
        <v>1793</v>
      </c>
    </row>
    <row hidden="1" r="1184" s="1" spans="1:12">
      <c r="A1184" s="4" t="n">
        <v>43132</v>
      </c>
      <c r="B1184" t="s">
        <v>478</v>
      </c>
      <c r="C1184" t="s">
        <v>479</v>
      </c>
      <c r="D1184" t="s">
        <v>245</v>
      </c>
      <c r="E1184" t="s">
        <v>15</v>
      </c>
      <c r="F1184" t="s">
        <v>16</v>
      </c>
      <c r="G1184" t="s">
        <v>1794</v>
      </c>
      <c r="H1184">
        <f>HYPERLINK("https://www.jouwictvacature.nl/solliciteren?job=gedreven-medior-php-developer-bij-square", "Link")</f>
        <v/>
      </c>
      <c r="I1184" t="s">
        <v>17</v>
      </c>
      <c r="J1184" t="s">
        <v>18</v>
      </c>
      <c r="K1184" t="s">
        <v>481</v>
      </c>
      <c r="L1184" t="s">
        <v>1795</v>
      </c>
    </row>
    <row hidden="1" r="1185" s="1" spans="1:12">
      <c r="A1185" s="4" t="n">
        <v>43132</v>
      </c>
      <c r="B1185" t="s">
        <v>213</v>
      </c>
      <c r="C1185" t="s">
        <v>80</v>
      </c>
      <c r="D1185" t="s">
        <v>22</v>
      </c>
      <c r="E1185" t="s">
        <v>15</v>
      </c>
      <c r="F1185" t="s">
        <v>16</v>
      </c>
      <c r="G1185" t="s">
        <v>213</v>
      </c>
      <c r="H1185">
        <f>HYPERLINK("https://www.jouwictvacature.nl/solliciteren?job=technisch-projectmanager-bij-growing-minds", "Link")</f>
        <v/>
      </c>
      <c r="I1185" t="s">
        <v>17</v>
      </c>
      <c r="J1185" t="s">
        <v>18</v>
      </c>
      <c r="K1185" t="s">
        <v>723</v>
      </c>
      <c r="L1185" t="s">
        <v>724</v>
      </c>
    </row>
    <row hidden="1" r="1186" s="1" spans="1:12">
      <c r="A1186" s="4" t="n">
        <v>43132</v>
      </c>
      <c r="B1186" t="s">
        <v>365</v>
      </c>
      <c r="C1186" t="s">
        <v>366</v>
      </c>
      <c r="D1186" t="s">
        <v>14</v>
      </c>
      <c r="E1186" t="s">
        <v>15</v>
      </c>
      <c r="F1186" t="s">
        <v>16</v>
      </c>
      <c r="G1186" t="s">
        <v>365</v>
      </c>
      <c r="H1186">
        <f>HYPERLINK("https://www.jouwictvacature.nl/solliciteren?job=junior-programmeur-bij-not-on-paper", "Link")</f>
        <v/>
      </c>
      <c r="I1186" t="s">
        <v>17</v>
      </c>
      <c r="J1186" t="s">
        <v>18</v>
      </c>
      <c r="K1186" t="s">
        <v>367</v>
      </c>
      <c r="L1186" t="s">
        <v>630</v>
      </c>
    </row>
    <row hidden="1" r="1187" s="1" spans="1:12">
      <c r="A1187" s="4" t="n">
        <v>43132</v>
      </c>
      <c r="B1187" t="s">
        <v>432</v>
      </c>
      <c r="C1187" t="s">
        <v>433</v>
      </c>
      <c r="D1187" t="s">
        <v>245</v>
      </c>
      <c r="E1187" t="s">
        <v>15</v>
      </c>
      <c r="F1187" t="s">
        <v>16</v>
      </c>
      <c r="G1187" t="s">
        <v>1358</v>
      </c>
      <c r="H1187">
        <f>HYPERLINK("https://www.jouwictvacature.nl/solliciteren?job=medior-back-end-developer-regio-groningen", "Link")</f>
        <v/>
      </c>
      <c r="I1187" t="s">
        <v>17</v>
      </c>
      <c r="J1187" t="s">
        <v>18</v>
      </c>
      <c r="K1187" t="s">
        <v>435</v>
      </c>
      <c r="L1187" t="s">
        <v>1359</v>
      </c>
    </row>
    <row hidden="1" r="1188" s="1" spans="1:12">
      <c r="A1188" s="4" t="n">
        <v>43132</v>
      </c>
      <c r="B1188" t="s">
        <v>634</v>
      </c>
      <c r="C1188" t="s">
        <v>635</v>
      </c>
      <c r="D1188" t="s">
        <v>22</v>
      </c>
      <c r="E1188" t="s">
        <v>15</v>
      </c>
      <c r="F1188" t="s">
        <v>52</v>
      </c>
      <c r="G1188" t="s">
        <v>1796</v>
      </c>
      <c r="H1188">
        <f>HYPERLINK("https://www.jouwictvacature.nl/solliciteren?job=medior-php-wordpress-developer-bij-bureau-vet", "Link")</f>
        <v/>
      </c>
      <c r="I1188" t="s">
        <v>17</v>
      </c>
      <c r="J1188" t="s">
        <v>18</v>
      </c>
      <c r="K1188" t="s">
        <v>1797</v>
      </c>
      <c r="L1188" t="s">
        <v>1798</v>
      </c>
    </row>
    <row hidden="1" r="1189" s="1" spans="1:12">
      <c r="A1189" s="4" t="n">
        <v>43132</v>
      </c>
      <c r="B1189" t="s">
        <v>493</v>
      </c>
      <c r="C1189" t="s">
        <v>72</v>
      </c>
      <c r="D1189" t="s">
        <v>245</v>
      </c>
      <c r="E1189" t="s">
        <v>15</v>
      </c>
      <c r="F1189" t="s">
        <v>16</v>
      </c>
      <c r="G1189" t="s">
        <v>1799</v>
      </c>
      <c r="H1189">
        <f>HYPERLINK("https://www.jouwictvacature.nl/solliciteren?job=backend-koning-gezocht-regio-arnhem-php", "Link")</f>
        <v/>
      </c>
      <c r="I1189" t="s">
        <v>17</v>
      </c>
      <c r="J1189" t="s">
        <v>18</v>
      </c>
      <c r="K1189" t="s">
        <v>495</v>
      </c>
      <c r="L1189" t="s">
        <v>1800</v>
      </c>
    </row>
    <row hidden="1" r="1190" s="1" spans="1:12">
      <c r="A1190" s="4" t="n">
        <v>43132</v>
      </c>
      <c r="B1190" t="s">
        <v>719</v>
      </c>
      <c r="C1190" t="s">
        <v>93</v>
      </c>
      <c r="D1190" t="s">
        <v>245</v>
      </c>
      <c r="E1190" t="s">
        <v>15</v>
      </c>
      <c r="F1190" t="s">
        <v>52</v>
      </c>
      <c r="G1190" t="s">
        <v>1080</v>
      </c>
      <c r="H1190">
        <f>HYPERLINK("https://www.jouwictvacature.nl/solliciteren?job=medior-laravel-back-end-developer-bij-23g", "Link")</f>
        <v/>
      </c>
      <c r="I1190" t="s">
        <v>17</v>
      </c>
      <c r="J1190" t="s">
        <v>18</v>
      </c>
      <c r="K1190" t="s">
        <v>721</v>
      </c>
      <c r="L1190" t="s">
        <v>1081</v>
      </c>
    </row>
    <row hidden="1" r="1191" s="1" spans="1:12">
      <c r="A1191" s="4" t="n">
        <v>43132</v>
      </c>
      <c r="B1191" t="s">
        <v>1140</v>
      </c>
      <c r="C1191" t="s">
        <v>1141</v>
      </c>
      <c r="D1191" t="s">
        <v>22</v>
      </c>
      <c r="E1191" t="s">
        <v>15</v>
      </c>
      <c r="F1191" t="s">
        <v>16</v>
      </c>
      <c r="G1191" t="s">
        <v>1142</v>
      </c>
      <c r="H1191">
        <f>HYPERLINK("https://www.jouwictvacature.nl/solliciteren?job=full-stack-developer-10", "Link")</f>
        <v/>
      </c>
      <c r="I1191" t="s">
        <v>17</v>
      </c>
      <c r="J1191" t="s">
        <v>18</v>
      </c>
      <c r="K1191" t="s">
        <v>1143</v>
      </c>
      <c r="L1191" t="s">
        <v>1144</v>
      </c>
    </row>
    <row hidden="1" r="1192" s="1" spans="1:12">
      <c r="A1192" s="4" t="n">
        <v>43132</v>
      </c>
      <c r="B1192" t="s">
        <v>1484</v>
      </c>
      <c r="C1192" t="s">
        <v>1027</v>
      </c>
      <c r="D1192" t="s">
        <v>22</v>
      </c>
      <c r="E1192" t="s">
        <v>15</v>
      </c>
      <c r="F1192" t="s">
        <v>16</v>
      </c>
      <c r="G1192" t="s">
        <v>1484</v>
      </c>
      <c r="H1192">
        <f>HYPERLINK("https://www.jouwictvacature.nl/solliciteren?job=senior-php-developer-13", "Link")</f>
        <v/>
      </c>
      <c r="I1192" t="s">
        <v>17</v>
      </c>
      <c r="J1192" t="s">
        <v>18</v>
      </c>
      <c r="K1192" t="s">
        <v>1801</v>
      </c>
      <c r="L1192" t="s">
        <v>1802</v>
      </c>
    </row>
    <row hidden="1" r="1193" s="1" spans="1:12">
      <c r="A1193" s="4" t="n">
        <v>43132</v>
      </c>
      <c r="B1193" t="s">
        <v>37</v>
      </c>
      <c r="C1193" t="s">
        <v>38</v>
      </c>
      <c r="D1193" t="s">
        <v>22</v>
      </c>
      <c r="E1193" t="s">
        <v>15</v>
      </c>
      <c r="F1193" t="s">
        <v>28</v>
      </c>
      <c r="G1193" t="s">
        <v>42</v>
      </c>
      <c r="H1193">
        <f>HYPERLINK("https://www.jouwictvacature.nl/solliciteren?job=senior-web-developer-bij-advitrae", "Link")</f>
        <v/>
      </c>
      <c r="I1193" t="s">
        <v>17</v>
      </c>
      <c r="J1193" t="s">
        <v>18</v>
      </c>
      <c r="K1193" t="s">
        <v>40</v>
      </c>
      <c r="L1193" t="s">
        <v>43</v>
      </c>
    </row>
    <row hidden="1" r="1194" s="1" spans="1:12">
      <c r="A1194" s="4" t="n">
        <v>43132</v>
      </c>
      <c r="B1194" t="s">
        <v>317</v>
      </c>
      <c r="C1194" t="s">
        <v>45</v>
      </c>
      <c r="D1194" t="s">
        <v>14</v>
      </c>
      <c r="E1194" t="s">
        <v>15</v>
      </c>
      <c r="F1194" t="s">
        <v>52</v>
      </c>
      <c r="G1194" t="s">
        <v>631</v>
      </c>
      <c r="H1194">
        <f>HYPERLINK("https://www.jouwictvacature.nl/solliciteren?job=medior-full-stack-developer-bij-maximumnl", "Link")</f>
        <v/>
      </c>
      <c r="I1194" t="s">
        <v>17</v>
      </c>
      <c r="J1194" t="s">
        <v>18</v>
      </c>
      <c r="K1194" t="s">
        <v>632</v>
      </c>
      <c r="L1194" t="s">
        <v>633</v>
      </c>
    </row>
    <row hidden="1" r="1195" s="1" spans="1:12">
      <c r="A1195" s="4" t="n">
        <v>43132</v>
      </c>
      <c r="B1195" t="s">
        <v>750</v>
      </c>
      <c r="C1195" t="s">
        <v>128</v>
      </c>
      <c r="D1195" t="s">
        <v>22</v>
      </c>
      <c r="E1195" t="s">
        <v>15</v>
      </c>
      <c r="F1195" t="s">
        <v>16</v>
      </c>
      <c r="G1195" t="s">
        <v>750</v>
      </c>
      <c r="H1195">
        <f>HYPERLINK("https://www.jouwictvacature.nl/solliciteren?job=front-end-developer-bij-gemini-design", "Link")</f>
        <v/>
      </c>
      <c r="I1195" t="s">
        <v>17</v>
      </c>
      <c r="J1195" t="s">
        <v>18</v>
      </c>
      <c r="K1195" t="s">
        <v>751</v>
      </c>
      <c r="L1195" t="s">
        <v>1494</v>
      </c>
    </row>
    <row hidden="1" r="1196" s="1" spans="1:12">
      <c r="A1196" s="4" t="n">
        <v>43132</v>
      </c>
      <c r="B1196" t="s">
        <v>820</v>
      </c>
      <c r="C1196" t="s">
        <v>13</v>
      </c>
      <c r="D1196" t="s">
        <v>245</v>
      </c>
      <c r="E1196" t="s">
        <v>15</v>
      </c>
      <c r="F1196" t="s">
        <v>16</v>
      </c>
      <c r="G1196" t="s">
        <v>820</v>
      </c>
      <c r="H1196">
        <f>HYPERLINK("https://www.jouwictvacature.nl/solliciteren?job=medior-front-end-developer-bij-talmark", "Link")</f>
        <v/>
      </c>
      <c r="I1196" t="s">
        <v>17</v>
      </c>
      <c r="J1196" t="s">
        <v>18</v>
      </c>
      <c r="K1196" t="s">
        <v>821</v>
      </c>
      <c r="L1196" t="s">
        <v>822</v>
      </c>
    </row>
    <row hidden="1" r="1197" s="1" spans="1:12">
      <c r="A1197" s="4" t="n">
        <v>43132</v>
      </c>
      <c r="B1197" t="s">
        <v>590</v>
      </c>
      <c r="C1197" t="s">
        <v>591</v>
      </c>
      <c r="D1197" t="s">
        <v>245</v>
      </c>
      <c r="E1197" t="s">
        <v>15</v>
      </c>
      <c r="F1197" t="s">
        <v>28</v>
      </c>
      <c r="G1197" t="s">
        <v>1803</v>
      </c>
      <c r="H1197">
        <f>HYPERLINK("https://www.jouwictvacature.nl/solliciteren?job=senior-web-developer-bij-yourzine", "Link")</f>
        <v/>
      </c>
      <c r="I1197" t="s">
        <v>17</v>
      </c>
      <c r="J1197" t="s">
        <v>18</v>
      </c>
      <c r="K1197" t="s">
        <v>1804</v>
      </c>
      <c r="L1197" t="s">
        <v>1805</v>
      </c>
    </row>
    <row r="1198" spans="1:12">
      <c r="A1198" s="4" t="n">
        <v>43132</v>
      </c>
      <c r="B1198" t="s">
        <v>49</v>
      </c>
      <c r="C1198" t="s">
        <v>50</v>
      </c>
      <c r="D1198" t="s">
        <v>22</v>
      </c>
      <c r="E1198" t="s">
        <v>51</v>
      </c>
      <c r="F1198" t="s">
        <v>34</v>
      </c>
      <c r="G1198" t="s">
        <v>1346</v>
      </c>
      <c r="H1198">
        <f>HYPERLINK("https://www.jouwictvacature.nl/solliciteren?job=junior-front-end-angular2-developer-bij-asamco-bv", "Link")</f>
        <v/>
      </c>
      <c r="I1198" t="s">
        <v>17</v>
      </c>
      <c r="J1198" t="s">
        <v>18</v>
      </c>
      <c r="K1198" t="s">
        <v>1347</v>
      </c>
      <c r="L1198" t="s">
        <v>1348</v>
      </c>
    </row>
    <row hidden="1" r="1199" s="1" spans="1:12">
      <c r="A1199" s="4" t="n">
        <v>43132</v>
      </c>
      <c r="B1199" t="s">
        <v>493</v>
      </c>
      <c r="C1199" t="s">
        <v>72</v>
      </c>
      <c r="D1199" t="s">
        <v>245</v>
      </c>
      <c r="E1199" t="s">
        <v>15</v>
      </c>
      <c r="F1199" t="s">
        <v>28</v>
      </c>
      <c r="G1199" t="s">
        <v>734</v>
      </c>
      <c r="H1199">
        <f>HYPERLINK("https://www.jouwictvacature.nl/solliciteren?job=senior-full-stack-developer-bij-sumedia", "Link")</f>
        <v/>
      </c>
      <c r="I1199" t="s">
        <v>17</v>
      </c>
      <c r="J1199" t="s">
        <v>18</v>
      </c>
      <c r="K1199" t="s">
        <v>495</v>
      </c>
      <c r="L1199" t="s">
        <v>735</v>
      </c>
    </row>
    <row hidden="1" r="1200" s="1" spans="1:12">
      <c r="A1200" s="4" t="n">
        <v>43132</v>
      </c>
      <c r="B1200" t="s">
        <v>529</v>
      </c>
      <c r="C1200" t="s">
        <v>76</v>
      </c>
      <c r="D1200" t="s">
        <v>245</v>
      </c>
      <c r="E1200" t="s">
        <v>15</v>
      </c>
      <c r="F1200" t="s">
        <v>16</v>
      </c>
      <c r="G1200" t="s">
        <v>529</v>
      </c>
      <c r="H1200">
        <f>HYPERLINK("https://www.jouwictvacature.nl/solliciteren?job=senior-frontend-developer-javascript-bij-tradecast", "Link")</f>
        <v/>
      </c>
      <c r="I1200" t="s">
        <v>17</v>
      </c>
      <c r="J1200" t="s">
        <v>18</v>
      </c>
      <c r="K1200" t="s">
        <v>1668</v>
      </c>
      <c r="L1200" t="s">
        <v>1806</v>
      </c>
    </row>
    <row hidden="1" r="1201" s="1" spans="1:12">
      <c r="A1201" s="4" t="n">
        <v>43132</v>
      </c>
      <c r="B1201" t="s">
        <v>1760</v>
      </c>
      <c r="C1201" t="s">
        <v>62</v>
      </c>
      <c r="D1201" t="s">
        <v>245</v>
      </c>
      <c r="E1201" t="s">
        <v>15</v>
      </c>
      <c r="F1201" t="s">
        <v>16</v>
      </c>
      <c r="G1201" t="s">
        <v>1760</v>
      </c>
      <c r="H1201">
        <f>HYPERLINK("https://www.jouwictvacature.nl/solliciteren?job=medior-designer-bij-zeo", "Link")</f>
        <v/>
      </c>
      <c r="I1201" t="s">
        <v>17</v>
      </c>
      <c r="J1201" t="s">
        <v>18</v>
      </c>
      <c r="K1201" t="s">
        <v>1761</v>
      </c>
      <c r="L1201" t="s">
        <v>1807</v>
      </c>
    </row>
    <row r="1202" spans="1:12">
      <c r="A1202" s="4" t="n">
        <v>43132</v>
      </c>
      <c r="B1202" t="s">
        <v>1095</v>
      </c>
      <c r="C1202" t="s">
        <v>76</v>
      </c>
      <c r="D1202" t="s">
        <v>245</v>
      </c>
      <c r="E1202" t="s">
        <v>51</v>
      </c>
      <c r="F1202" t="s">
        <v>16</v>
      </c>
      <c r="G1202" t="s">
        <v>1095</v>
      </c>
      <c r="H1202">
        <f>HYPERLINK("https://www.jouwictvacature.nl/solliciteren?job=senior-back-end-developer-superbuddy-mean-stack", "Link")</f>
        <v/>
      </c>
      <c r="I1202" t="s">
        <v>17</v>
      </c>
      <c r="J1202" t="s">
        <v>18</v>
      </c>
      <c r="K1202" t="s">
        <v>1096</v>
      </c>
      <c r="L1202" t="s">
        <v>1808</v>
      </c>
    </row>
    <row hidden="1" r="1203" s="1" spans="1:12">
      <c r="A1203" s="4" t="n">
        <v>43137</v>
      </c>
      <c r="B1203" t="s">
        <v>1377</v>
      </c>
      <c r="C1203" t="s">
        <v>1378</v>
      </c>
      <c r="D1203" t="s">
        <v>22</v>
      </c>
      <c r="E1203" t="s">
        <v>15</v>
      </c>
      <c r="F1203" t="s">
        <v>16</v>
      </c>
      <c r="G1203" t="s">
        <v>1809</v>
      </c>
      <c r="H1203">
        <f>HYPERLINK("https://www.jouwictvacature.nl/solliciteren?job=backend-developer-bij-gappless--java-go-rest-bij-gappless", "Link")</f>
        <v/>
      </c>
      <c r="I1203" t="s">
        <v>17</v>
      </c>
      <c r="J1203" t="s">
        <v>18</v>
      </c>
      <c r="K1203" t="s">
        <v>1810</v>
      </c>
      <c r="L1203" t="s">
        <v>1811</v>
      </c>
    </row>
    <row hidden="1" r="1204" s="1" spans="1:12">
      <c r="A1204" s="4" t="n">
        <v>43137</v>
      </c>
      <c r="B1204" t="s">
        <v>1812</v>
      </c>
      <c r="C1204" t="s">
        <v>93</v>
      </c>
      <c r="D1204" t="s">
        <v>14</v>
      </c>
      <c r="E1204" t="s">
        <v>15</v>
      </c>
      <c r="F1204" t="s">
        <v>34</v>
      </c>
      <c r="G1204" t="s">
        <v>1813</v>
      </c>
      <c r="H1204">
        <f>HYPERLINK("https://www.jouwictvacature.nl/solliciteren?job=junior-java-developer--spring-jsp-tomcat-en-apache", "Link")</f>
        <v/>
      </c>
      <c r="I1204" t="s">
        <v>17</v>
      </c>
      <c r="J1204" t="s">
        <v>18</v>
      </c>
      <c r="K1204" t="s">
        <v>1814</v>
      </c>
      <c r="L1204" t="s">
        <v>1815</v>
      </c>
    </row>
    <row r="1205" spans="1:12">
      <c r="A1205" s="4" t="n">
        <v>43137</v>
      </c>
      <c r="B1205" t="s">
        <v>683</v>
      </c>
      <c r="C1205" t="s">
        <v>80</v>
      </c>
      <c r="D1205" t="s">
        <v>14</v>
      </c>
      <c r="E1205" t="s">
        <v>51</v>
      </c>
      <c r="F1205" t="s">
        <v>52</v>
      </c>
      <c r="G1205" t="s">
        <v>684</v>
      </c>
      <c r="H1205">
        <f>HYPERLINK("https://www.jouwictvacature.nl/solliciteren?job=medior-java-developer-at-metafactory-in-amsterdam-bij-metafactory", "Link")</f>
        <v/>
      </c>
      <c r="I1205" t="s">
        <v>17</v>
      </c>
      <c r="J1205" t="s">
        <v>18</v>
      </c>
      <c r="K1205" t="s">
        <v>685</v>
      </c>
      <c r="L1205" t="s">
        <v>686</v>
      </c>
    </row>
    <row hidden="1" r="1206" s="1" spans="1:12">
      <c r="A1206" s="4" t="n">
        <v>43137</v>
      </c>
      <c r="B1206" t="s">
        <v>71</v>
      </c>
      <c r="C1206" t="s">
        <v>93</v>
      </c>
      <c r="D1206" t="s">
        <v>22</v>
      </c>
      <c r="E1206" t="s">
        <v>15</v>
      </c>
      <c r="F1206" t="s">
        <v>52</v>
      </c>
      <c r="G1206" t="s">
        <v>101</v>
      </c>
      <c r="H1206">
        <f>HYPERLINK("https://www.jouwictvacature.nl/solliciteren?job=medior-agile-test-specialist-bij-bartosz-bij-bartosz-rotterdam", "Link")</f>
        <v/>
      </c>
      <c r="I1206" t="s">
        <v>17</v>
      </c>
      <c r="J1206" t="s">
        <v>18</v>
      </c>
      <c r="K1206" t="s">
        <v>91</v>
      </c>
      <c r="L1206" t="s">
        <v>1816</v>
      </c>
    </row>
    <row hidden="1" r="1207" s="1" spans="1:12">
      <c r="A1207" s="4" t="n">
        <v>43137</v>
      </c>
      <c r="B1207" t="s">
        <v>564</v>
      </c>
      <c r="C1207" t="s">
        <v>62</v>
      </c>
      <c r="D1207" t="s">
        <v>245</v>
      </c>
      <c r="E1207" t="s">
        <v>15</v>
      </c>
      <c r="F1207" t="s">
        <v>16</v>
      </c>
      <c r="G1207" t="s">
        <v>1817</v>
      </c>
      <c r="H1207">
        <f>HYPERLINK("https://www.jouwictvacature.nl/solliciteren?job=trainee-software-test-tool-expert-bij-volant-groep", "Link")</f>
        <v/>
      </c>
      <c r="I1207" t="s">
        <v>17</v>
      </c>
      <c r="J1207" t="s">
        <v>18</v>
      </c>
      <c r="K1207" t="s">
        <v>1818</v>
      </c>
      <c r="L1207" t="s">
        <v>1819</v>
      </c>
    </row>
    <row r="1208" spans="1:12">
      <c r="A1208" s="4" t="n">
        <v>43137</v>
      </c>
      <c r="B1208" t="s">
        <v>1724</v>
      </c>
      <c r="C1208" t="s">
        <v>1725</v>
      </c>
      <c r="D1208" t="s">
        <v>245</v>
      </c>
      <c r="E1208" t="s">
        <v>51</v>
      </c>
      <c r="F1208" t="s">
        <v>16</v>
      </c>
      <c r="G1208" t="s">
        <v>1820</v>
      </c>
      <c r="H1208">
        <f>HYPERLINK("https://www.jouwictvacature.nl/solliciteren?job=experienced-technical-consultant-at-usoft-bij-usoft", "Link")</f>
        <v/>
      </c>
      <c r="I1208" t="s">
        <v>17</v>
      </c>
      <c r="J1208" t="s">
        <v>18</v>
      </c>
      <c r="K1208" t="s">
        <v>1727</v>
      </c>
      <c r="L1208" t="s">
        <v>1821</v>
      </c>
    </row>
    <row hidden="1" r="1209" s="1" spans="1:12">
      <c r="A1209" s="4" t="n">
        <v>43137</v>
      </c>
      <c r="B1209" t="s">
        <v>71</v>
      </c>
      <c r="C1209" t="s">
        <v>76</v>
      </c>
      <c r="D1209" t="s">
        <v>22</v>
      </c>
      <c r="E1209" t="s">
        <v>15</v>
      </c>
      <c r="F1209" t="s">
        <v>28</v>
      </c>
      <c r="G1209" t="s">
        <v>1459</v>
      </c>
      <c r="H1209">
        <f>HYPERLINK("https://www.jouwictvacature.nl/solliciteren?job=senior-agile-test-specialist-bij-bartosz-bij-bartosz-zwolle", "Link")</f>
        <v/>
      </c>
      <c r="I1209" t="s">
        <v>17</v>
      </c>
      <c r="J1209" t="s">
        <v>18</v>
      </c>
      <c r="K1209" t="s">
        <v>91</v>
      </c>
      <c r="L1209" t="s">
        <v>1460</v>
      </c>
    </row>
    <row hidden="1" r="1210" s="1" spans="1:12">
      <c r="A1210" s="4" t="n">
        <v>43137</v>
      </c>
      <c r="B1210" t="s">
        <v>678</v>
      </c>
      <c r="C1210" t="s">
        <v>679</v>
      </c>
      <c r="D1210" t="s">
        <v>22</v>
      </c>
      <c r="E1210" t="s">
        <v>15</v>
      </c>
      <c r="F1210" t="s">
        <v>34</v>
      </c>
      <c r="G1210" t="s">
        <v>1322</v>
      </c>
      <c r="H1210">
        <f>HYPERLINK("https://www.jouwictvacature.nl/solliciteren?job=junior-java-developer-3", "Link")</f>
        <v/>
      </c>
      <c r="I1210" t="s">
        <v>17</v>
      </c>
      <c r="J1210" t="s">
        <v>18</v>
      </c>
      <c r="K1210" t="s">
        <v>1822</v>
      </c>
      <c r="L1210" t="s">
        <v>1823</v>
      </c>
    </row>
    <row hidden="1" r="1211" s="1" spans="1:12">
      <c r="A1211" s="4" t="n">
        <v>43137</v>
      </c>
      <c r="B1211" t="s">
        <v>1399</v>
      </c>
      <c r="C1211" t="s">
        <v>309</v>
      </c>
      <c r="D1211" t="s">
        <v>22</v>
      </c>
      <c r="E1211" t="s">
        <v>15</v>
      </c>
      <c r="F1211" t="s">
        <v>28</v>
      </c>
      <c r="G1211" t="s">
        <v>1824</v>
      </c>
      <c r="H1211">
        <f>HYPERLINK("https://www.jouwictvacature.nl/solliciteren?job=senior-java-ontwikkelaar--spring-hibernate-maven-jboss-en-websphere-bi", "Link")</f>
        <v/>
      </c>
      <c r="I1211" t="s">
        <v>17</v>
      </c>
      <c r="J1211" t="s">
        <v>18</v>
      </c>
      <c r="K1211" t="s">
        <v>1637</v>
      </c>
      <c r="L1211" t="s">
        <v>1825</v>
      </c>
    </row>
    <row hidden="1" r="1212" s="1" spans="1:12">
      <c r="A1212" s="4" t="n">
        <v>43137</v>
      </c>
      <c r="B1212" t="s">
        <v>115</v>
      </c>
      <c r="C1212" t="s">
        <v>62</v>
      </c>
      <c r="D1212" t="s">
        <v>22</v>
      </c>
      <c r="E1212" t="s">
        <v>15</v>
      </c>
      <c r="F1212" t="s">
        <v>16</v>
      </c>
      <c r="G1212" t="s">
        <v>120</v>
      </c>
      <c r="H1212">
        <f>HYPERLINK("https://www.jouwictvacature.nl/solliciteren?job=werken-in-een-oude-utrechtse-watertoren-als-junior-java-developer-bij-", "Link")</f>
        <v/>
      </c>
      <c r="I1212" t="s">
        <v>17</v>
      </c>
      <c r="J1212" t="s">
        <v>18</v>
      </c>
      <c r="K1212" t="s">
        <v>121</v>
      </c>
      <c r="L1212" t="s">
        <v>122</v>
      </c>
    </row>
    <row hidden="1" r="1213" s="1" spans="1:12">
      <c r="A1213" s="4" t="n">
        <v>43137</v>
      </c>
      <c r="B1213" t="s">
        <v>437</v>
      </c>
      <c r="C1213" t="s">
        <v>438</v>
      </c>
      <c r="D1213" t="s">
        <v>245</v>
      </c>
      <c r="E1213" t="s">
        <v>15</v>
      </c>
      <c r="F1213" t="s">
        <v>16</v>
      </c>
      <c r="G1213" t="s">
        <v>616</v>
      </c>
      <c r="H1213">
        <f>HYPERLINK("https://www.jouwictvacature.nl/solliciteren?job=net-developer--2", "Link")</f>
        <v/>
      </c>
      <c r="I1213" t="s">
        <v>17</v>
      </c>
      <c r="J1213" t="s">
        <v>18</v>
      </c>
      <c r="K1213" t="s">
        <v>440</v>
      </c>
      <c r="L1213" t="s">
        <v>617</v>
      </c>
    </row>
    <row hidden="1" r="1214" s="1" spans="1:12">
      <c r="A1214" s="4" t="n">
        <v>43137</v>
      </c>
      <c r="B1214" t="s">
        <v>985</v>
      </c>
      <c r="C1214" t="s">
        <v>986</v>
      </c>
      <c r="D1214" t="s">
        <v>245</v>
      </c>
      <c r="E1214" t="s">
        <v>15</v>
      </c>
      <c r="F1214" t="s">
        <v>52</v>
      </c>
      <c r="G1214" t="s">
        <v>1826</v>
      </c>
      <c r="H1214">
        <f>HYPERLINK("https://www.jouwictvacature.nl/solliciteren?job=medior-net-developer-bij-utilize--werken-met-de-nieuwste-technieken", "Link")</f>
        <v/>
      </c>
      <c r="I1214" t="s">
        <v>17</v>
      </c>
      <c r="J1214" t="s">
        <v>18</v>
      </c>
      <c r="K1214" t="s">
        <v>988</v>
      </c>
      <c r="L1214" t="s">
        <v>1827</v>
      </c>
    </row>
    <row hidden="1" r="1215" s="1" spans="1:12">
      <c r="A1215" s="4" t="n">
        <v>43137</v>
      </c>
      <c r="B1215" t="s">
        <v>455</v>
      </c>
      <c r="C1215" t="s">
        <v>38</v>
      </c>
      <c r="D1215" t="s">
        <v>245</v>
      </c>
      <c r="E1215" t="s">
        <v>15</v>
      </c>
      <c r="F1215" t="s">
        <v>16</v>
      </c>
      <c r="G1215" t="s">
        <v>1538</v>
      </c>
      <c r="H1215">
        <f>HYPERLINK("https://www.jouwictvacature.nl/solliciteren?job=net-lead-engineer-bij-sogeti-2", "Link")</f>
        <v/>
      </c>
      <c r="I1215" t="s">
        <v>17</v>
      </c>
      <c r="J1215" t="s">
        <v>18</v>
      </c>
      <c r="K1215" t="s">
        <v>1130</v>
      </c>
      <c r="L1215" t="s">
        <v>1539</v>
      </c>
    </row>
    <row hidden="1" r="1216" s="1" spans="1:12">
      <c r="A1216" s="4" t="n">
        <v>43137</v>
      </c>
      <c r="B1216" t="s">
        <v>109</v>
      </c>
      <c r="C1216" t="s">
        <v>80</v>
      </c>
      <c r="D1216" t="s">
        <v>22</v>
      </c>
      <c r="E1216" t="s">
        <v>15</v>
      </c>
      <c r="F1216" t="s">
        <v>16</v>
      </c>
      <c r="G1216" t="s">
        <v>109</v>
      </c>
      <c r="H1216">
        <f>HYPERLINK("https://www.jouwictvacature.nl/solliciteren?job=senior-net-developer-met-communicatieve-vaardigheden", "Link")</f>
        <v/>
      </c>
      <c r="I1216" t="s">
        <v>17</v>
      </c>
      <c r="J1216" t="s">
        <v>18</v>
      </c>
      <c r="K1216" t="s">
        <v>110</v>
      </c>
      <c r="L1216" t="s">
        <v>700</v>
      </c>
    </row>
    <row hidden="1" r="1217" s="1" spans="1:12">
      <c r="A1217" s="4" t="n">
        <v>43137</v>
      </c>
      <c r="B1217" t="s">
        <v>455</v>
      </c>
      <c r="C1217" t="s">
        <v>309</v>
      </c>
      <c r="D1217" t="s">
        <v>245</v>
      </c>
      <c r="E1217" t="s">
        <v>15</v>
      </c>
      <c r="F1217" t="s">
        <v>28</v>
      </c>
      <c r="G1217" t="s">
        <v>1507</v>
      </c>
      <c r="H1217">
        <f>HYPERLINK("https://www.jouwictvacature.nl/solliciteren?job=medior-net-engineer-bij-sogeti-5", "Link")</f>
        <v/>
      </c>
      <c r="I1217" t="s">
        <v>17</v>
      </c>
      <c r="J1217" t="s">
        <v>18</v>
      </c>
      <c r="K1217" t="s">
        <v>466</v>
      </c>
      <c r="L1217" t="s">
        <v>1508</v>
      </c>
    </row>
    <row hidden="1" r="1218" s="1" spans="1:12">
      <c r="A1218" s="4" t="n">
        <v>43137</v>
      </c>
      <c r="B1218" t="s">
        <v>1000</v>
      </c>
      <c r="C1218" t="s">
        <v>1001</v>
      </c>
      <c r="D1218" t="s">
        <v>22</v>
      </c>
      <c r="E1218" t="s">
        <v>15</v>
      </c>
      <c r="F1218" t="s">
        <v>16</v>
      </c>
      <c r="G1218" t="s">
        <v>1000</v>
      </c>
      <c r="H1218">
        <f>HYPERLINK("https://www.jouwictvacature.nl/solliciteren?job=backend-software-developer-bij-bwaste-international-bv-in-eefde", "Link")</f>
        <v/>
      </c>
      <c r="I1218" t="s">
        <v>17</v>
      </c>
      <c r="J1218" t="s">
        <v>18</v>
      </c>
      <c r="K1218" t="s">
        <v>1002</v>
      </c>
      <c r="L1218" t="s">
        <v>1003</v>
      </c>
    </row>
    <row hidden="1" r="1219" s="1" spans="1:12">
      <c r="A1219" s="4" t="n">
        <v>43137</v>
      </c>
      <c r="B1219" t="s">
        <v>455</v>
      </c>
      <c r="C1219" t="s">
        <v>456</v>
      </c>
      <c r="D1219" t="s">
        <v>245</v>
      </c>
      <c r="E1219" t="s">
        <v>15</v>
      </c>
      <c r="F1219" t="s">
        <v>28</v>
      </c>
      <c r="G1219" t="s">
        <v>457</v>
      </c>
      <c r="H1219">
        <f>HYPERLINK("https://www.jouwictvacature.nl/solliciteren?job=medior-microsoft-sharepoint-specialist-bij-sogeti-4", "Link")</f>
        <v/>
      </c>
      <c r="I1219" t="s">
        <v>17</v>
      </c>
      <c r="J1219" t="s">
        <v>18</v>
      </c>
      <c r="K1219" t="s">
        <v>458</v>
      </c>
      <c r="L1219" t="s">
        <v>459</v>
      </c>
    </row>
    <row r="1220" spans="1:12">
      <c r="A1220" s="4" t="n">
        <v>43137</v>
      </c>
      <c r="B1220" t="s">
        <v>963</v>
      </c>
      <c r="C1220" t="s">
        <v>38</v>
      </c>
      <c r="D1220" t="s">
        <v>14</v>
      </c>
      <c r="E1220" t="s">
        <v>51</v>
      </c>
      <c r="F1220" t="s">
        <v>52</v>
      </c>
      <c r="G1220" t="s">
        <v>1196</v>
      </c>
      <c r="H1220">
        <f>HYPERLINK("https://www.jouwictvacature.nl/solliciteren?job=medior-software-engineer-focus-on-front-end-bij-pyton-an-amadeus-compa", "Link")</f>
        <v/>
      </c>
      <c r="I1220" t="s">
        <v>17</v>
      </c>
      <c r="J1220" t="s">
        <v>18</v>
      </c>
      <c r="K1220" t="s">
        <v>965</v>
      </c>
      <c r="L1220" t="s">
        <v>1197</v>
      </c>
    </row>
    <row hidden="1" r="1221" s="1" spans="1:12">
      <c r="A1221" s="4" t="n">
        <v>43137</v>
      </c>
      <c r="B1221" t="s">
        <v>49</v>
      </c>
      <c r="C1221" t="s">
        <v>50</v>
      </c>
      <c r="D1221" t="s">
        <v>22</v>
      </c>
      <c r="E1221" t="s">
        <v>15</v>
      </c>
      <c r="F1221" t="s">
        <v>28</v>
      </c>
      <c r="G1221" t="s">
        <v>1710</v>
      </c>
      <c r="H1221">
        <f>HYPERLINK("https://www.jouwictvacature.nl/solliciteren?job=medior-webdeveloper-", "Link")</f>
        <v/>
      </c>
      <c r="I1221" t="s">
        <v>17</v>
      </c>
      <c r="J1221" t="s">
        <v>18</v>
      </c>
      <c r="K1221" t="s">
        <v>1247</v>
      </c>
      <c r="L1221" t="s">
        <v>1711</v>
      </c>
    </row>
    <row hidden="1" r="1222" s="1" spans="1:12">
      <c r="A1222" s="4" t="n">
        <v>43137</v>
      </c>
      <c r="B1222" t="s">
        <v>701</v>
      </c>
      <c r="C1222" t="s">
        <v>702</v>
      </c>
      <c r="D1222" t="s">
        <v>22</v>
      </c>
      <c r="E1222" t="s">
        <v>15</v>
      </c>
      <c r="F1222" t="s">
        <v>28</v>
      </c>
      <c r="G1222" t="s">
        <v>1588</v>
      </c>
      <c r="H1222">
        <f>HYPERLINK("https://www.jouwictvacature.nl/solliciteren?job=senior-aspnetc-ontwikkelaar", "Link")</f>
        <v/>
      </c>
      <c r="I1222" t="s">
        <v>17</v>
      </c>
      <c r="J1222" t="s">
        <v>18</v>
      </c>
      <c r="K1222" t="s">
        <v>704</v>
      </c>
      <c r="L1222" t="s">
        <v>1589</v>
      </c>
    </row>
    <row hidden="1" r="1223" s="1" spans="1:12">
      <c r="A1223" s="4" t="n">
        <v>43137</v>
      </c>
      <c r="B1223" t="s">
        <v>1020</v>
      </c>
      <c r="C1223" t="s">
        <v>1021</v>
      </c>
      <c r="D1223" t="s">
        <v>245</v>
      </c>
      <c r="E1223" t="s">
        <v>15</v>
      </c>
      <c r="F1223" t="s">
        <v>16</v>
      </c>
      <c r="G1223" t="s">
        <v>1242</v>
      </c>
      <c r="H1223">
        <f>HYPERLINK("https://www.jouwictvacature.nl/solliciteren?job=web-developer-medior-bij-the-fuel-company", "Link")</f>
        <v/>
      </c>
      <c r="I1223" t="s">
        <v>17</v>
      </c>
      <c r="J1223" t="s">
        <v>18</v>
      </c>
      <c r="K1223" t="s">
        <v>1023</v>
      </c>
      <c r="L1223" t="s">
        <v>1243</v>
      </c>
    </row>
    <row hidden="1" r="1224" s="1" spans="1:12">
      <c r="A1224" s="4" t="n">
        <v>43137</v>
      </c>
      <c r="B1224" t="s">
        <v>244</v>
      </c>
      <c r="C1224" t="s">
        <v>45</v>
      </c>
      <c r="D1224" t="s">
        <v>245</v>
      </c>
      <c r="E1224" t="s">
        <v>15</v>
      </c>
      <c r="F1224" t="s">
        <v>28</v>
      </c>
      <c r="G1224" t="s">
        <v>246</v>
      </c>
      <c r="H1224">
        <f>HYPERLINK("https://www.jouwictvacature.nl/solliciteren?job=senior-back-end-developer-4", "Link")</f>
        <v/>
      </c>
      <c r="I1224" t="s">
        <v>17</v>
      </c>
      <c r="J1224" t="s">
        <v>18</v>
      </c>
      <c r="K1224" t="s">
        <v>247</v>
      </c>
      <c r="L1224" t="s">
        <v>248</v>
      </c>
    </row>
    <row hidden="1" r="1225" s="1" spans="1:12">
      <c r="A1225" s="4" t="n">
        <v>43137</v>
      </c>
      <c r="B1225" t="s">
        <v>878</v>
      </c>
      <c r="C1225" t="s">
        <v>1670</v>
      </c>
      <c r="D1225" t="s">
        <v>22</v>
      </c>
      <c r="E1225" t="s">
        <v>15</v>
      </c>
      <c r="F1225" t="s">
        <v>52</v>
      </c>
      <c r="G1225" t="s">
        <v>301</v>
      </c>
      <c r="H1225">
        <f>HYPERLINK("https://www.jouwictvacature.nl/solliciteren?job=medior-php-developer-bij-divtag", "Link")</f>
        <v/>
      </c>
      <c r="I1225" t="s">
        <v>17</v>
      </c>
      <c r="J1225" t="s">
        <v>18</v>
      </c>
      <c r="K1225" t="s">
        <v>879</v>
      </c>
      <c r="L1225" t="s">
        <v>880</v>
      </c>
    </row>
    <row hidden="1" r="1226" s="1" spans="1:12">
      <c r="A1226" s="4" t="n">
        <v>43137</v>
      </c>
      <c r="B1226" t="s">
        <v>493</v>
      </c>
      <c r="C1226" t="s">
        <v>72</v>
      </c>
      <c r="D1226" t="s">
        <v>245</v>
      </c>
      <c r="E1226" t="s">
        <v>15</v>
      </c>
      <c r="F1226" t="s">
        <v>16</v>
      </c>
      <c r="G1226" t="s">
        <v>1597</v>
      </c>
      <c r="H1226">
        <f>HYPERLINK("https://www.jouwictvacature.nl/solliciteren?job=magento-developer-met-ambitie", "Link")</f>
        <v/>
      </c>
      <c r="I1226" t="s">
        <v>17</v>
      </c>
      <c r="J1226" t="s">
        <v>18</v>
      </c>
      <c r="K1226" t="s">
        <v>495</v>
      </c>
      <c r="L1226" t="s">
        <v>1598</v>
      </c>
    </row>
    <row hidden="1" r="1227" s="1" spans="1:12">
      <c r="A1227" s="4" t="n">
        <v>43137</v>
      </c>
      <c r="B1227" t="s">
        <v>49</v>
      </c>
      <c r="C1227" t="s">
        <v>50</v>
      </c>
      <c r="D1227" t="s">
        <v>22</v>
      </c>
      <c r="E1227" t="s">
        <v>15</v>
      </c>
      <c r="F1227" t="s">
        <v>16</v>
      </c>
      <c r="G1227" t="s">
        <v>1582</v>
      </c>
      <c r="H1227">
        <f>HYPERLINK("https://www.jouwictvacature.nl/solliciteren?job=allround-developer-3", "Link")</f>
        <v/>
      </c>
      <c r="I1227" t="s">
        <v>17</v>
      </c>
      <c r="J1227" t="s">
        <v>18</v>
      </c>
      <c r="K1227" t="s">
        <v>1247</v>
      </c>
      <c r="L1227" t="s">
        <v>1583</v>
      </c>
    </row>
    <row hidden="1" r="1228" s="1" spans="1:12">
      <c r="A1228" s="4" t="n">
        <v>43137</v>
      </c>
      <c r="B1228" t="s">
        <v>1484</v>
      </c>
      <c r="C1228" t="s">
        <v>1027</v>
      </c>
      <c r="D1228" t="s">
        <v>22</v>
      </c>
      <c r="E1228" t="s">
        <v>15</v>
      </c>
      <c r="F1228" t="s">
        <v>16</v>
      </c>
      <c r="G1228" t="s">
        <v>1484</v>
      </c>
      <c r="H1228">
        <f>HYPERLINK("https://www.jouwictvacature.nl/solliciteren?job=senior-php-developer-13", "Link")</f>
        <v/>
      </c>
      <c r="I1228" t="s">
        <v>17</v>
      </c>
      <c r="J1228" t="s">
        <v>18</v>
      </c>
      <c r="K1228" t="s">
        <v>1801</v>
      </c>
      <c r="L1228" t="s">
        <v>1802</v>
      </c>
    </row>
    <row hidden="1" r="1229" s="1" spans="1:12">
      <c r="A1229" s="4" t="n">
        <v>43137</v>
      </c>
      <c r="B1229" t="s">
        <v>278</v>
      </c>
      <c r="C1229" t="s">
        <v>279</v>
      </c>
      <c r="D1229" t="s">
        <v>14</v>
      </c>
      <c r="E1229" t="s">
        <v>15</v>
      </c>
      <c r="F1229" t="s">
        <v>16</v>
      </c>
      <c r="G1229" t="s">
        <v>1747</v>
      </c>
      <c r="H1229">
        <f>HYPERLINK("https://www.jouwictvacature.nl/solliciteren?job=gedreven-senior-php--magento-developer-bij-topwerkgever--2", "Link")</f>
        <v/>
      </c>
      <c r="I1229" t="s">
        <v>17</v>
      </c>
      <c r="J1229" t="s">
        <v>18</v>
      </c>
      <c r="K1229" t="s">
        <v>651</v>
      </c>
      <c r="L1229" t="s">
        <v>1748</v>
      </c>
    </row>
    <row hidden="1" r="1230" s="1" spans="1:12">
      <c r="A1230" s="4" t="n">
        <v>43137</v>
      </c>
      <c r="B1230" t="s">
        <v>1731</v>
      </c>
      <c r="C1230" t="s">
        <v>93</v>
      </c>
      <c r="D1230" t="s">
        <v>245</v>
      </c>
      <c r="E1230" t="s">
        <v>15</v>
      </c>
      <c r="F1230" t="s">
        <v>16</v>
      </c>
      <c r="G1230" t="s">
        <v>1828</v>
      </c>
      <c r="H1230">
        <f>HYPERLINK("https://www.jouwictvacature.nl/solliciteren?job=junior-symfony-developer-bij-vdminl", "Link")</f>
        <v/>
      </c>
      <c r="I1230" t="s">
        <v>17</v>
      </c>
      <c r="J1230" t="s">
        <v>18</v>
      </c>
      <c r="K1230" t="s">
        <v>1829</v>
      </c>
      <c r="L1230" t="s">
        <v>1830</v>
      </c>
    </row>
    <row hidden="1" r="1231" s="1" spans="1:12">
      <c r="A1231" s="4" t="n">
        <v>43137</v>
      </c>
      <c r="B1231" t="s">
        <v>317</v>
      </c>
      <c r="C1231" t="s">
        <v>45</v>
      </c>
      <c r="D1231" t="s">
        <v>14</v>
      </c>
      <c r="E1231" t="s">
        <v>15</v>
      </c>
      <c r="F1231" t="s">
        <v>52</v>
      </c>
      <c r="G1231" t="s">
        <v>631</v>
      </c>
      <c r="H1231">
        <f>HYPERLINK("https://www.jouwictvacature.nl/solliciteren?job=medior-full-stack-developer-bij-maximumnl", "Link")</f>
        <v/>
      </c>
      <c r="I1231" t="s">
        <v>17</v>
      </c>
      <c r="J1231" t="s">
        <v>18</v>
      </c>
      <c r="K1231" t="s">
        <v>632</v>
      </c>
      <c r="L1231" t="s">
        <v>633</v>
      </c>
    </row>
    <row hidden="1" r="1232" s="1" spans="1:12">
      <c r="A1232" s="4" t="n">
        <v>43137</v>
      </c>
      <c r="B1232" t="s">
        <v>1731</v>
      </c>
      <c r="C1232" t="s">
        <v>93</v>
      </c>
      <c r="D1232" t="s">
        <v>245</v>
      </c>
      <c r="E1232" t="s">
        <v>15</v>
      </c>
      <c r="F1232" t="s">
        <v>52</v>
      </c>
      <c r="G1232" t="s">
        <v>1732</v>
      </c>
      <c r="H1232">
        <f>HYPERLINK("https://www.jouwictvacature.nl/solliciteren?job=medior-symfony-developer-bij-vdminl", "Link")</f>
        <v/>
      </c>
      <c r="I1232" t="s">
        <v>17</v>
      </c>
      <c r="J1232" t="s">
        <v>18</v>
      </c>
      <c r="K1232" t="s">
        <v>1733</v>
      </c>
      <c r="L1232" t="s">
        <v>1734</v>
      </c>
    </row>
    <row hidden="1" r="1233" s="1" spans="1:12">
      <c r="A1233" s="4" t="n">
        <v>43137</v>
      </c>
      <c r="B1233" t="s">
        <v>164</v>
      </c>
      <c r="C1233" t="s">
        <v>80</v>
      </c>
      <c r="D1233" t="s">
        <v>22</v>
      </c>
      <c r="E1233" t="s">
        <v>15</v>
      </c>
      <c r="F1233" t="s">
        <v>28</v>
      </c>
      <c r="G1233" t="s">
        <v>1193</v>
      </c>
      <c r="H1233">
        <f>HYPERLINK("https://www.jouwictvacature.nl/solliciteren?job=senior-embedded-developer-bij-dexels-bij-dexels", "Link")</f>
        <v/>
      </c>
      <c r="I1233" t="s">
        <v>17</v>
      </c>
      <c r="J1233" t="s">
        <v>18</v>
      </c>
      <c r="K1233" t="s">
        <v>1194</v>
      </c>
      <c r="L1233" t="s">
        <v>1195</v>
      </c>
    </row>
    <row hidden="1" r="1234" s="1" spans="1:12">
      <c r="A1234" s="4" t="n">
        <v>43137</v>
      </c>
      <c r="B1234" t="s">
        <v>61</v>
      </c>
      <c r="C1234" t="s">
        <v>62</v>
      </c>
      <c r="D1234" t="s">
        <v>22</v>
      </c>
      <c r="E1234" t="s">
        <v>15</v>
      </c>
      <c r="F1234" t="s">
        <v>28</v>
      </c>
      <c r="G1234" t="s">
        <v>68</v>
      </c>
      <c r="H1234">
        <f>HYPERLINK("https://www.jouwictvacature.nl/solliciteren?job=senior-software-engineer-bij-axual--java-apache-kafka--incl-macbook-pr", "Link")</f>
        <v/>
      </c>
      <c r="I1234" t="s">
        <v>17</v>
      </c>
      <c r="J1234" t="s">
        <v>18</v>
      </c>
      <c r="K1234" t="s">
        <v>69</v>
      </c>
      <c r="L1234" t="s">
        <v>70</v>
      </c>
    </row>
    <row hidden="1" r="1235" s="1" spans="1:12">
      <c r="A1235" s="4" t="n">
        <v>43137</v>
      </c>
      <c r="B1235" t="s">
        <v>1377</v>
      </c>
      <c r="C1235" t="s">
        <v>1378</v>
      </c>
      <c r="D1235" t="s">
        <v>22</v>
      </c>
      <c r="E1235" t="s">
        <v>15</v>
      </c>
      <c r="F1235" t="s">
        <v>52</v>
      </c>
      <c r="G1235" t="s">
        <v>1831</v>
      </c>
      <c r="H1235">
        <f>HYPERLINK("https://www.jouwictvacature.nl/solliciteren?job=medior-java-developer-bij-gappless-te-halfweg-bij-gappless", "Link")</f>
        <v/>
      </c>
      <c r="I1235" t="s">
        <v>17</v>
      </c>
      <c r="J1235" t="s">
        <v>18</v>
      </c>
      <c r="K1235" t="s">
        <v>1810</v>
      </c>
      <c r="L1235" t="s">
        <v>1832</v>
      </c>
    </row>
    <row hidden="1" r="1236" s="1" spans="1:12">
      <c r="A1236" s="4" t="n">
        <v>43137</v>
      </c>
      <c r="B1236" t="s">
        <v>174</v>
      </c>
      <c r="C1236" t="s">
        <v>80</v>
      </c>
      <c r="D1236" t="s">
        <v>22</v>
      </c>
      <c r="E1236" t="s">
        <v>15</v>
      </c>
      <c r="F1236" t="s">
        <v>28</v>
      </c>
      <c r="G1236" t="s">
        <v>1052</v>
      </c>
      <c r="H1236">
        <f>HYPERLINK("https://www.jouwictvacature.nl/solliciteren?job=senior-java-full-stack-developer--ios-phonegap-objective-c-swift-bij-d-2", "Link")</f>
        <v/>
      </c>
      <c r="I1236" t="s">
        <v>17</v>
      </c>
      <c r="J1236" t="s">
        <v>18</v>
      </c>
      <c r="K1236" t="s">
        <v>176</v>
      </c>
      <c r="L1236" t="s">
        <v>1053</v>
      </c>
    </row>
    <row r="1237" spans="1:12">
      <c r="A1237" s="4" t="n">
        <v>43137</v>
      </c>
      <c r="B1237" t="s">
        <v>532</v>
      </c>
      <c r="C1237" t="s">
        <v>80</v>
      </c>
      <c r="D1237" t="s">
        <v>245</v>
      </c>
      <c r="E1237" t="s">
        <v>51</v>
      </c>
      <c r="F1237" t="s">
        <v>16</v>
      </c>
      <c r="G1237" t="s">
        <v>1833</v>
      </c>
      <c r="H1237">
        <f>HYPERLINK("https://www.jouwictvacature.nl/solliciteren?job=starting-machine-learning-developer-at-trifork-in-amsterdam-bij-trifor", "Link")</f>
        <v/>
      </c>
      <c r="I1237" t="s">
        <v>17</v>
      </c>
      <c r="J1237" t="s">
        <v>18</v>
      </c>
      <c r="K1237" t="s">
        <v>542</v>
      </c>
      <c r="L1237" t="s">
        <v>1834</v>
      </c>
    </row>
    <row hidden="1" r="1238" s="1" spans="1:12">
      <c r="A1238" s="4" t="n">
        <v>43137</v>
      </c>
      <c r="B1238" t="s">
        <v>174</v>
      </c>
      <c r="C1238" t="s">
        <v>38</v>
      </c>
      <c r="D1238" t="s">
        <v>22</v>
      </c>
      <c r="E1238" t="s">
        <v>15</v>
      </c>
      <c r="F1238" t="s">
        <v>28</v>
      </c>
      <c r="G1238" t="s">
        <v>1719</v>
      </c>
      <c r="H1238">
        <f>HYPERLINK("https://www.jouwictvacature.nl/solliciteren?job=medior-java-developer--spring-grails-wicket-javascript-scala-bij-dpa-g-4", "Link")</f>
        <v/>
      </c>
      <c r="I1238" t="s">
        <v>17</v>
      </c>
      <c r="J1238" t="s">
        <v>18</v>
      </c>
      <c r="K1238" t="s">
        <v>176</v>
      </c>
      <c r="L1238" t="s">
        <v>1835</v>
      </c>
    </row>
    <row hidden="1" r="1239" s="1" spans="1:12">
      <c r="A1239" s="4" t="n">
        <v>43137</v>
      </c>
      <c r="B1239" t="s">
        <v>553</v>
      </c>
      <c r="C1239" t="s">
        <v>554</v>
      </c>
      <c r="D1239" t="s">
        <v>245</v>
      </c>
      <c r="E1239" t="s">
        <v>15</v>
      </c>
      <c r="F1239" t="s">
        <v>16</v>
      </c>
      <c r="G1239" t="s">
        <v>553</v>
      </c>
      <c r="H1239">
        <f>HYPERLINK("https://www.jouwictvacature.nl/solliciteren?job=senior-web-architect-bij-ultraware", "Link")</f>
        <v/>
      </c>
      <c r="I1239" t="s">
        <v>17</v>
      </c>
      <c r="J1239" t="s">
        <v>18</v>
      </c>
      <c r="K1239" t="s">
        <v>555</v>
      </c>
      <c r="L1239" t="s">
        <v>556</v>
      </c>
    </row>
    <row hidden="1" r="1240" s="1" spans="1:12">
      <c r="A1240" s="4" t="n">
        <v>43137</v>
      </c>
      <c r="B1240" t="s">
        <v>268</v>
      </c>
      <c r="C1240" t="s">
        <v>269</v>
      </c>
      <c r="D1240" t="s">
        <v>14</v>
      </c>
      <c r="E1240" t="s">
        <v>15</v>
      </c>
      <c r="F1240" t="s">
        <v>28</v>
      </c>
      <c r="G1240" t="s">
        <v>270</v>
      </c>
      <c r="H1240">
        <f>HYPERLINK("https://www.jouwictvacature.nl/solliciteren?job=senior-java-software-developer--servoy-java-sql-saas", "Link")</f>
        <v/>
      </c>
      <c r="I1240" t="s">
        <v>17</v>
      </c>
      <c r="J1240" t="s">
        <v>18</v>
      </c>
      <c r="K1240" t="s">
        <v>271</v>
      </c>
      <c r="L1240" t="s">
        <v>272</v>
      </c>
    </row>
    <row r="1241" spans="1:12">
      <c r="A1241" s="4" t="n">
        <v>43137</v>
      </c>
      <c r="B1241" t="s">
        <v>765</v>
      </c>
      <c r="C1241" t="s">
        <v>766</v>
      </c>
      <c r="D1241" t="s">
        <v>22</v>
      </c>
      <c r="E1241" t="s">
        <v>51</v>
      </c>
      <c r="F1241" t="s">
        <v>16</v>
      </c>
      <c r="G1241" t="s">
        <v>765</v>
      </c>
      <c r="H1241">
        <f>HYPERLINK("https://www.jouwictvacature.nl/solliciteren?job=junior-software-engineer-at-asset-control", "Link")</f>
        <v/>
      </c>
      <c r="I1241" t="s">
        <v>17</v>
      </c>
      <c r="J1241" t="s">
        <v>18</v>
      </c>
      <c r="K1241" t="s">
        <v>767</v>
      </c>
      <c r="L1241" t="s">
        <v>1765</v>
      </c>
    </row>
    <row hidden="1" r="1242" s="1" spans="1:12">
      <c r="A1242" s="4" t="n">
        <v>43137</v>
      </c>
      <c r="B1242" t="s">
        <v>174</v>
      </c>
      <c r="C1242" t="s">
        <v>80</v>
      </c>
      <c r="D1242" t="s">
        <v>22</v>
      </c>
      <c r="E1242" t="s">
        <v>15</v>
      </c>
      <c r="F1242" t="s">
        <v>28</v>
      </c>
      <c r="G1242" t="s">
        <v>1771</v>
      </c>
      <c r="H1242">
        <f>HYPERLINK("https://www.jouwictvacature.nl/solliciteren?job=senior-mobile-developer--ios-android-phonegap-objective-c-java-swift-b-2", "Link")</f>
        <v/>
      </c>
      <c r="I1242" t="s">
        <v>17</v>
      </c>
      <c r="J1242" t="s">
        <v>18</v>
      </c>
      <c r="K1242" t="s">
        <v>188</v>
      </c>
      <c r="L1242" t="s">
        <v>1836</v>
      </c>
    </row>
    <row hidden="1" r="1243" s="1" spans="1:12">
      <c r="A1243" s="4" t="n">
        <v>43137</v>
      </c>
      <c r="B1243" t="s">
        <v>785</v>
      </c>
      <c r="C1243" t="s">
        <v>522</v>
      </c>
      <c r="D1243" t="s">
        <v>22</v>
      </c>
      <c r="E1243" t="s">
        <v>15</v>
      </c>
      <c r="F1243" t="s">
        <v>16</v>
      </c>
      <c r="G1243" t="s">
        <v>785</v>
      </c>
      <c r="H1243">
        <f>HYPERLINK("https://www.jouwictvacature.nl/solliciteren?job=junior-software-engineer-3", "Link")</f>
        <v/>
      </c>
      <c r="I1243" t="s">
        <v>17</v>
      </c>
      <c r="J1243" t="s">
        <v>18</v>
      </c>
      <c r="K1243" t="s">
        <v>1662</v>
      </c>
      <c r="L1243" t="s">
        <v>1837</v>
      </c>
    </row>
    <row hidden="1" r="1244" s="1" spans="1:12">
      <c r="A1244" s="4" t="n">
        <v>43137</v>
      </c>
      <c r="B1244" t="s">
        <v>37</v>
      </c>
      <c r="C1244" t="s">
        <v>38</v>
      </c>
      <c r="D1244" t="s">
        <v>22</v>
      </c>
      <c r="E1244" t="s">
        <v>15</v>
      </c>
      <c r="F1244" t="s">
        <v>28</v>
      </c>
      <c r="G1244" t="s">
        <v>39</v>
      </c>
      <c r="H1244">
        <f>HYPERLINK("https://www.jouwictvacature.nl/solliciteren?job=senior-front-end-developer-bij-advitrae", "Link")</f>
        <v/>
      </c>
      <c r="I1244" t="s">
        <v>17</v>
      </c>
      <c r="J1244" t="s">
        <v>18</v>
      </c>
      <c r="K1244" t="s">
        <v>40</v>
      </c>
      <c r="L1244" t="s">
        <v>41</v>
      </c>
    </row>
    <row hidden="1" r="1245" s="1" spans="1:12">
      <c r="A1245" s="4" t="n">
        <v>43137</v>
      </c>
      <c r="B1245" t="s">
        <v>104</v>
      </c>
      <c r="C1245" t="s">
        <v>38</v>
      </c>
      <c r="D1245" t="s">
        <v>22</v>
      </c>
      <c r="E1245" t="s">
        <v>15</v>
      </c>
      <c r="F1245" t="s">
        <v>16</v>
      </c>
      <c r="G1245" t="s">
        <v>104</v>
      </c>
      <c r="H1245">
        <f>HYPERLINK("https://www.jouwictvacature.nl/solliciteren?job=junior-softwareontwikkelaar-bij-betabit-regio-eindhoven", "Link")</f>
        <v/>
      </c>
      <c r="I1245" t="s">
        <v>17</v>
      </c>
      <c r="J1245" t="s">
        <v>18</v>
      </c>
      <c r="K1245" t="s">
        <v>783</v>
      </c>
      <c r="L1245" t="s">
        <v>1838</v>
      </c>
    </row>
    <row hidden="1" r="1246" s="1" spans="1:12">
      <c r="A1246" s="4" t="n">
        <v>43137</v>
      </c>
      <c r="B1246" t="s">
        <v>856</v>
      </c>
      <c r="C1246" t="s">
        <v>50</v>
      </c>
      <c r="D1246" t="s">
        <v>22</v>
      </c>
      <c r="E1246" t="s">
        <v>15</v>
      </c>
      <c r="F1246" t="s">
        <v>16</v>
      </c>
      <c r="G1246" t="s">
        <v>856</v>
      </c>
      <c r="H1246">
        <f>HYPERLINK("https://www.jouwictvacature.nl/solliciteren?job=docent-ict", "Link")</f>
        <v/>
      </c>
      <c r="I1246" t="s">
        <v>17</v>
      </c>
      <c r="J1246" t="s">
        <v>18</v>
      </c>
      <c r="K1246" t="s">
        <v>1397</v>
      </c>
      <c r="L1246" t="s">
        <v>1398</v>
      </c>
    </row>
    <row hidden="1" r="1247" s="1" spans="1:12">
      <c r="A1247" s="4" t="n">
        <v>43137</v>
      </c>
      <c r="B1247" t="s">
        <v>1235</v>
      </c>
      <c r="C1247" t="s">
        <v>1236</v>
      </c>
      <c r="D1247" t="s">
        <v>245</v>
      </c>
      <c r="E1247" t="s">
        <v>15</v>
      </c>
      <c r="F1247" t="s">
        <v>28</v>
      </c>
      <c r="G1247" t="s">
        <v>1839</v>
      </c>
      <c r="H1247">
        <f>HYPERLINK("https://www.jouwictvacature.nl/solliciteren?job=senior-net-developer-met-affiniteit-voor-onderwijs", "Link")</f>
        <v/>
      </c>
      <c r="I1247" t="s">
        <v>17</v>
      </c>
      <c r="J1247" t="s">
        <v>18</v>
      </c>
      <c r="K1247" t="s">
        <v>1238</v>
      </c>
      <c r="L1247" t="s">
        <v>1840</v>
      </c>
    </row>
    <row hidden="1" r="1248" s="1" spans="1:12">
      <c r="A1248" s="4" t="n">
        <v>43137</v>
      </c>
      <c r="B1248" t="s">
        <v>455</v>
      </c>
      <c r="C1248" t="s">
        <v>456</v>
      </c>
      <c r="D1248" t="s">
        <v>245</v>
      </c>
      <c r="E1248" t="s">
        <v>15</v>
      </c>
      <c r="F1248" t="s">
        <v>28</v>
      </c>
      <c r="G1248" t="s">
        <v>614</v>
      </c>
      <c r="H1248">
        <f>HYPERLINK("https://www.jouwictvacature.nl/solliciteren?job=medior-net-engineer-bij-sogeti", "Link")</f>
        <v/>
      </c>
      <c r="I1248" t="s">
        <v>17</v>
      </c>
      <c r="J1248" t="s">
        <v>18</v>
      </c>
      <c r="K1248" t="s">
        <v>466</v>
      </c>
      <c r="L1248" t="s">
        <v>615</v>
      </c>
    </row>
    <row hidden="1" r="1249" s="1" spans="1:12">
      <c r="A1249" s="4" t="n">
        <v>43137</v>
      </c>
      <c r="B1249" t="s">
        <v>257</v>
      </c>
      <c r="C1249" t="s">
        <v>13</v>
      </c>
      <c r="D1249" t="s">
        <v>14</v>
      </c>
      <c r="E1249" t="s">
        <v>15</v>
      </c>
      <c r="F1249" t="s">
        <v>52</v>
      </c>
      <c r="G1249" t="s">
        <v>264</v>
      </c>
      <c r="H1249">
        <f>HYPERLINK("https://www.jouwictvacature.nl/solliciteren?job=medior-net-developer-met-communicatieve-skills", "Link")</f>
        <v/>
      </c>
      <c r="I1249" t="s">
        <v>17</v>
      </c>
      <c r="J1249" t="s">
        <v>18</v>
      </c>
      <c r="K1249" t="s">
        <v>259</v>
      </c>
      <c r="L1249" t="s">
        <v>265</v>
      </c>
    </row>
    <row hidden="1" r="1250" s="1" spans="1:12">
      <c r="A1250" s="4" t="n">
        <v>43137</v>
      </c>
      <c r="B1250" t="s">
        <v>386</v>
      </c>
      <c r="C1250" t="s">
        <v>387</v>
      </c>
      <c r="D1250" t="s">
        <v>14</v>
      </c>
      <c r="E1250" t="s">
        <v>15</v>
      </c>
      <c r="F1250" t="s">
        <v>28</v>
      </c>
      <c r="G1250" t="s">
        <v>870</v>
      </c>
      <c r="H1250">
        <f>HYPERLINK("https://www.jouwictvacature.nl/solliciteren?job=senior-net-developer-bij-packs", "Link")</f>
        <v/>
      </c>
      <c r="I1250" t="s">
        <v>17</v>
      </c>
      <c r="J1250" t="s">
        <v>18</v>
      </c>
      <c r="K1250" t="s">
        <v>389</v>
      </c>
      <c r="L1250" t="s">
        <v>871</v>
      </c>
    </row>
    <row hidden="1" r="1251" s="1" spans="1:12">
      <c r="A1251" s="4" t="n">
        <v>43137</v>
      </c>
      <c r="B1251" t="s">
        <v>386</v>
      </c>
      <c r="C1251" t="s">
        <v>387</v>
      </c>
      <c r="D1251" t="s">
        <v>14</v>
      </c>
      <c r="E1251" t="s">
        <v>15</v>
      </c>
      <c r="F1251" t="s">
        <v>52</v>
      </c>
      <c r="G1251" t="s">
        <v>388</v>
      </c>
      <c r="H1251">
        <f>HYPERLINK("https://www.jouwictvacature.nl/solliciteren?job=medior-net-developer-bij-packs--oa-inhouse--studiebudget", "Link")</f>
        <v/>
      </c>
      <c r="I1251" t="s">
        <v>17</v>
      </c>
      <c r="J1251" t="s">
        <v>18</v>
      </c>
      <c r="K1251" t="s">
        <v>389</v>
      </c>
      <c r="L1251" t="s">
        <v>390</v>
      </c>
    </row>
    <row hidden="1" r="1252" s="1" spans="1:12">
      <c r="A1252" s="4" t="n">
        <v>43137</v>
      </c>
      <c r="B1252" t="s">
        <v>382</v>
      </c>
      <c r="C1252" t="s">
        <v>274</v>
      </c>
      <c r="D1252" t="s">
        <v>14</v>
      </c>
      <c r="E1252" t="s">
        <v>15</v>
      </c>
      <c r="F1252" t="s">
        <v>16</v>
      </c>
      <c r="G1252" t="s">
        <v>382</v>
      </c>
      <c r="H1252">
        <f>HYPERLINK("https://www.jouwictvacature.nl/solliciteren?job=technisch-consultant-bij-ortec-", "Link")</f>
        <v/>
      </c>
      <c r="I1252" t="s">
        <v>17</v>
      </c>
      <c r="J1252" t="s">
        <v>18</v>
      </c>
      <c r="K1252" t="s">
        <v>1585</v>
      </c>
      <c r="L1252" t="s">
        <v>1841</v>
      </c>
    </row>
    <row hidden="1" r="1253" s="1" spans="1:12">
      <c r="A1253" s="4" t="n">
        <v>43137</v>
      </c>
      <c r="B1253" t="s">
        <v>365</v>
      </c>
      <c r="C1253" t="s">
        <v>366</v>
      </c>
      <c r="D1253" t="s">
        <v>14</v>
      </c>
      <c r="E1253" t="s">
        <v>15</v>
      </c>
      <c r="F1253" t="s">
        <v>16</v>
      </c>
      <c r="G1253" t="s">
        <v>365</v>
      </c>
      <c r="H1253">
        <f>HYPERLINK("https://www.jouwictvacature.nl/solliciteren?job=junior-programmeur-bij-not-on-paper", "Link")</f>
        <v/>
      </c>
      <c r="I1253" t="s">
        <v>17</v>
      </c>
      <c r="J1253" t="s">
        <v>18</v>
      </c>
      <c r="K1253" t="s">
        <v>367</v>
      </c>
      <c r="L1253" t="s">
        <v>630</v>
      </c>
    </row>
    <row hidden="1" r="1254" s="1" spans="1:12">
      <c r="A1254" s="4" t="n">
        <v>43137</v>
      </c>
      <c r="B1254" t="s">
        <v>278</v>
      </c>
      <c r="C1254" t="s">
        <v>279</v>
      </c>
      <c r="D1254" t="s">
        <v>14</v>
      </c>
      <c r="E1254" t="s">
        <v>15</v>
      </c>
      <c r="F1254" t="s">
        <v>16</v>
      </c>
      <c r="G1254" t="s">
        <v>650</v>
      </c>
      <c r="H1254">
        <f>HYPERLINK("https://www.jouwictvacature.nl/solliciteren?job=php--magento-developer-bij-topwerkgever", "Link")</f>
        <v/>
      </c>
      <c r="I1254" t="s">
        <v>17</v>
      </c>
      <c r="J1254" t="s">
        <v>18</v>
      </c>
      <c r="K1254" t="s">
        <v>651</v>
      </c>
      <c r="L1254" t="s">
        <v>652</v>
      </c>
    </row>
    <row hidden="1" r="1255" s="1" spans="1:12">
      <c r="A1255" s="4" t="n">
        <v>43137</v>
      </c>
      <c r="B1255" t="s">
        <v>1760</v>
      </c>
      <c r="C1255" t="s">
        <v>62</v>
      </c>
      <c r="D1255" t="s">
        <v>245</v>
      </c>
      <c r="E1255" t="s">
        <v>15</v>
      </c>
      <c r="F1255" t="s">
        <v>16</v>
      </c>
      <c r="G1255" t="s">
        <v>1760</v>
      </c>
      <c r="H1255">
        <f>HYPERLINK("https://www.jouwictvacature.nl/solliciteren?job=medior-magento-developer-bij-zeo-", "Link")</f>
        <v/>
      </c>
      <c r="I1255" t="s">
        <v>17</v>
      </c>
      <c r="J1255" t="s">
        <v>18</v>
      </c>
      <c r="K1255" t="s">
        <v>1842</v>
      </c>
      <c r="L1255" t="s">
        <v>1843</v>
      </c>
    </row>
    <row hidden="1" r="1256" s="1" spans="1:12">
      <c r="A1256" s="4" t="n">
        <v>43137</v>
      </c>
      <c r="B1256" t="s">
        <v>1731</v>
      </c>
      <c r="C1256" t="s">
        <v>93</v>
      </c>
      <c r="D1256" t="s">
        <v>245</v>
      </c>
      <c r="E1256" t="s">
        <v>15</v>
      </c>
      <c r="F1256" t="s">
        <v>16</v>
      </c>
      <c r="G1256" t="s">
        <v>1828</v>
      </c>
      <c r="H1256">
        <f>HYPERLINK("https://www.jouwictvacature.nl/solliciteren?job=junior-symfony-developer-bij-vdminl", "Link")</f>
        <v/>
      </c>
      <c r="I1256" t="s">
        <v>17</v>
      </c>
      <c r="J1256" t="s">
        <v>18</v>
      </c>
      <c r="K1256" t="s">
        <v>1829</v>
      </c>
      <c r="L1256" t="s">
        <v>1830</v>
      </c>
    </row>
    <row hidden="1" r="1257" s="1" spans="1:12">
      <c r="A1257" s="4" t="n">
        <v>43137</v>
      </c>
      <c r="B1257" t="s">
        <v>358</v>
      </c>
      <c r="C1257" t="s">
        <v>359</v>
      </c>
      <c r="D1257" t="s">
        <v>14</v>
      </c>
      <c r="E1257" t="s">
        <v>15</v>
      </c>
      <c r="F1257" t="s">
        <v>52</v>
      </c>
      <c r="G1257" t="s">
        <v>711</v>
      </c>
      <c r="H1257">
        <f>HYPERLINK("https://www.jouwictvacature.nl/solliciteren?job=medior-php-developer-bij-nobears", "Link")</f>
        <v/>
      </c>
      <c r="I1257" t="s">
        <v>17</v>
      </c>
      <c r="J1257" t="s">
        <v>18</v>
      </c>
      <c r="K1257" t="s">
        <v>361</v>
      </c>
      <c r="L1257" t="s">
        <v>712</v>
      </c>
    </row>
    <row hidden="1" r="1258" s="1" spans="1:12">
      <c r="A1258" s="4" t="n">
        <v>43137</v>
      </c>
      <c r="B1258" t="s">
        <v>396</v>
      </c>
      <c r="C1258" t="s">
        <v>397</v>
      </c>
      <c r="D1258" t="s">
        <v>14</v>
      </c>
      <c r="E1258" t="s">
        <v>15</v>
      </c>
      <c r="F1258" t="s">
        <v>28</v>
      </c>
      <c r="G1258" t="s">
        <v>398</v>
      </c>
      <c r="H1258">
        <f>HYPERLINK("https://www.jouwictvacature.nl/solliciteren?job=senior-backend-developer-2", "Link")</f>
        <v/>
      </c>
      <c r="I1258" t="s">
        <v>17</v>
      </c>
      <c r="J1258" t="s">
        <v>18</v>
      </c>
      <c r="K1258" t="s">
        <v>399</v>
      </c>
      <c r="L1258" t="s">
        <v>400</v>
      </c>
    </row>
    <row hidden="1" r="1259" s="1" spans="1:12">
      <c r="A1259" s="4" t="n">
        <v>43137</v>
      </c>
      <c r="B1259" t="s">
        <v>1140</v>
      </c>
      <c r="C1259" t="s">
        <v>1141</v>
      </c>
      <c r="D1259" t="s">
        <v>22</v>
      </c>
      <c r="E1259" t="s">
        <v>15</v>
      </c>
      <c r="F1259" t="s">
        <v>16</v>
      </c>
      <c r="G1259" t="s">
        <v>1554</v>
      </c>
      <c r="H1259">
        <f>HYPERLINK("https://www.jouwictvacature.nl/solliciteren?job=full-stack-developer-11", "Link")</f>
        <v/>
      </c>
      <c r="I1259" t="s">
        <v>17</v>
      </c>
      <c r="J1259" t="s">
        <v>18</v>
      </c>
      <c r="K1259" t="s">
        <v>1143</v>
      </c>
      <c r="L1259" t="s">
        <v>1555</v>
      </c>
    </row>
    <row hidden="1" r="1260" s="1" spans="1:12">
      <c r="A1260" s="4" t="n">
        <v>43137</v>
      </c>
      <c r="B1260" t="s">
        <v>795</v>
      </c>
      <c r="C1260" t="s">
        <v>796</v>
      </c>
      <c r="D1260" t="s">
        <v>22</v>
      </c>
      <c r="E1260" t="s">
        <v>15</v>
      </c>
      <c r="F1260" t="s">
        <v>28</v>
      </c>
      <c r="G1260" t="s">
        <v>893</v>
      </c>
      <c r="H1260">
        <f>HYPERLINK("https://www.jouwictvacature.nl/solliciteren?job=senior-webdeveloper--html-css-jquery-php-oop-mysql-wordpress-bij-csorb", "Link")</f>
        <v/>
      </c>
      <c r="I1260" t="s">
        <v>17</v>
      </c>
      <c r="J1260" t="s">
        <v>18</v>
      </c>
      <c r="K1260" t="s">
        <v>798</v>
      </c>
      <c r="L1260" t="s">
        <v>894</v>
      </c>
    </row>
    <row hidden="1" r="1261" s="1" spans="1:12">
      <c r="A1261" s="4" t="n">
        <v>43137</v>
      </c>
      <c r="B1261" t="s">
        <v>1760</v>
      </c>
      <c r="C1261" t="s">
        <v>62</v>
      </c>
      <c r="D1261" t="s">
        <v>245</v>
      </c>
      <c r="E1261" t="s">
        <v>15</v>
      </c>
      <c r="F1261" t="s">
        <v>16</v>
      </c>
      <c r="G1261" t="s">
        <v>1760</v>
      </c>
      <c r="H1261">
        <f>HYPERLINK("https://www.jouwictvacature.nl/solliciteren?job=backend-developer-bij-zeo", "Link")</f>
        <v/>
      </c>
      <c r="I1261" t="s">
        <v>17</v>
      </c>
      <c r="J1261" t="s">
        <v>18</v>
      </c>
      <c r="K1261" t="s">
        <v>1844</v>
      </c>
      <c r="L1261" t="s">
        <v>1845</v>
      </c>
    </row>
    <row hidden="1" r="1262" s="1" spans="1:12">
      <c r="A1262" s="4" t="n">
        <v>43137</v>
      </c>
      <c r="B1262" t="s">
        <v>1760</v>
      </c>
      <c r="C1262" t="s">
        <v>62</v>
      </c>
      <c r="D1262" t="s">
        <v>245</v>
      </c>
      <c r="E1262" t="s">
        <v>15</v>
      </c>
      <c r="F1262" t="s">
        <v>16</v>
      </c>
      <c r="G1262" t="s">
        <v>1760</v>
      </c>
      <c r="H1262">
        <f>HYPERLINK("https://www.jouwictvacature.nl/solliciteren?job=junior-magento-developer-bij-zeo-bij-zeo", "Link")</f>
        <v/>
      </c>
      <c r="I1262" t="s">
        <v>17</v>
      </c>
      <c r="J1262" t="s">
        <v>18</v>
      </c>
      <c r="K1262" t="s">
        <v>1842</v>
      </c>
      <c r="L1262" t="s">
        <v>1846</v>
      </c>
    </row>
    <row hidden="1" r="1263" s="1" spans="1:12">
      <c r="A1263" s="4" t="n">
        <v>43137</v>
      </c>
      <c r="B1263" t="s">
        <v>1847</v>
      </c>
      <c r="C1263" t="s">
        <v>93</v>
      </c>
      <c r="D1263" t="s">
        <v>22</v>
      </c>
      <c r="E1263" t="s">
        <v>15</v>
      </c>
      <c r="F1263" t="s">
        <v>52</v>
      </c>
      <c r="G1263" t="s">
        <v>1848</v>
      </c>
      <c r="H1263">
        <f>HYPERLINK("https://www.jouwictvacature.nl/solliciteren?job=medior-front-end-ontwikkelaar-met-reactjs-ervaring", "Link")</f>
        <v/>
      </c>
      <c r="I1263" t="s">
        <v>17</v>
      </c>
      <c r="J1263" t="s">
        <v>18</v>
      </c>
      <c r="K1263" t="s">
        <v>1849</v>
      </c>
      <c r="L1263" t="s">
        <v>1850</v>
      </c>
    </row>
    <row hidden="1" r="1264" s="1" spans="1:12">
      <c r="A1264" s="4" t="n">
        <v>43137</v>
      </c>
      <c r="B1264" t="s">
        <v>1847</v>
      </c>
      <c r="C1264" t="s">
        <v>93</v>
      </c>
      <c r="D1264" t="s">
        <v>22</v>
      </c>
      <c r="E1264" t="s">
        <v>15</v>
      </c>
      <c r="F1264" t="s">
        <v>52</v>
      </c>
      <c r="G1264" t="s">
        <v>1851</v>
      </c>
      <c r="H1264">
        <f>HYPERLINK("https://www.jouwictvacature.nl/solliciteren?job=medior-javascript-ontwikkelaar-bij-dotcontrol", "Link")</f>
        <v/>
      </c>
      <c r="I1264" t="s">
        <v>17</v>
      </c>
      <c r="J1264" t="s">
        <v>18</v>
      </c>
      <c r="K1264" t="s">
        <v>1849</v>
      </c>
      <c r="L1264" t="s">
        <v>1852</v>
      </c>
    </row>
    <row hidden="1" r="1265" s="1" spans="1:12">
      <c r="A1265" s="4" t="n">
        <v>43137</v>
      </c>
      <c r="B1265" t="s">
        <v>1847</v>
      </c>
      <c r="C1265" t="s">
        <v>93</v>
      </c>
      <c r="D1265" t="s">
        <v>22</v>
      </c>
      <c r="E1265" t="s">
        <v>15</v>
      </c>
      <c r="F1265" t="s">
        <v>52</v>
      </c>
      <c r="G1265" t="s">
        <v>1853</v>
      </c>
      <c r="H1265">
        <f>HYPERLINK("https://www.jouwictvacature.nl/solliciteren?job=medior-creative-front-end-developer-bij-dotcontrol", "Link")</f>
        <v/>
      </c>
      <c r="I1265" t="s">
        <v>17</v>
      </c>
      <c r="J1265" t="s">
        <v>18</v>
      </c>
      <c r="K1265" t="s">
        <v>1849</v>
      </c>
      <c r="L1265" t="s">
        <v>1854</v>
      </c>
    </row>
    <row hidden="1" r="1266" s="1" spans="1:12">
      <c r="A1266" s="4" t="n">
        <v>43137</v>
      </c>
      <c r="B1266" t="s">
        <v>1847</v>
      </c>
      <c r="C1266" t="s">
        <v>93</v>
      </c>
      <c r="D1266" t="s">
        <v>22</v>
      </c>
      <c r="E1266" t="s">
        <v>15</v>
      </c>
      <c r="F1266" t="s">
        <v>28</v>
      </c>
      <c r="G1266" t="s">
        <v>1855</v>
      </c>
      <c r="H1266">
        <f>HYPERLINK("https://www.jouwictvacature.nl/solliciteren?job=medior-creatieve-front-end-developer-2", "Link")</f>
        <v/>
      </c>
      <c r="I1266" t="s">
        <v>17</v>
      </c>
      <c r="J1266" t="s">
        <v>18</v>
      </c>
      <c r="K1266" t="s">
        <v>1849</v>
      </c>
      <c r="L1266" t="s">
        <v>1856</v>
      </c>
    </row>
    <row hidden="1" r="1267" s="1" spans="1:12">
      <c r="A1267" s="4" t="n">
        <v>43137</v>
      </c>
      <c r="B1267" t="s">
        <v>1847</v>
      </c>
      <c r="C1267" t="s">
        <v>93</v>
      </c>
      <c r="D1267" t="s">
        <v>22</v>
      </c>
      <c r="E1267" t="s">
        <v>15</v>
      </c>
      <c r="F1267" t="s">
        <v>28</v>
      </c>
      <c r="G1267" t="s">
        <v>1857</v>
      </c>
      <c r="H1267">
        <f>HYPERLINK("https://www.jouwictvacature.nl/solliciteren?job=senior-front-end-ontwikkelaar-met-reactjs-ervaring-bij-dotcontrol", "Link")</f>
        <v/>
      </c>
      <c r="I1267" t="s">
        <v>17</v>
      </c>
      <c r="J1267" t="s">
        <v>18</v>
      </c>
      <c r="K1267" t="s">
        <v>1849</v>
      </c>
      <c r="L1267" t="s">
        <v>1858</v>
      </c>
    </row>
    <row hidden="1" r="1268" s="1" spans="1:12">
      <c r="A1268" s="4" t="n">
        <v>43137</v>
      </c>
      <c r="B1268" t="s">
        <v>1847</v>
      </c>
      <c r="C1268" t="s">
        <v>93</v>
      </c>
      <c r="D1268" t="s">
        <v>22</v>
      </c>
      <c r="E1268" t="s">
        <v>15</v>
      </c>
      <c r="F1268" t="s">
        <v>28</v>
      </c>
      <c r="G1268" t="s">
        <v>739</v>
      </c>
      <c r="H1268">
        <f>HYPERLINK("https://www.jouwictvacature.nl/solliciteren?job=seniorjavascript-ontwikkelaar-bij-dotcontrol", "Link")</f>
        <v/>
      </c>
      <c r="I1268" t="s">
        <v>17</v>
      </c>
      <c r="J1268" t="s">
        <v>18</v>
      </c>
      <c r="K1268" t="s">
        <v>1849</v>
      </c>
      <c r="L1268" t="s">
        <v>1859</v>
      </c>
    </row>
    <row hidden="1" r="1269" s="1" spans="1:12">
      <c r="A1269" s="4" t="n">
        <v>43137</v>
      </c>
      <c r="B1269" t="s">
        <v>1847</v>
      </c>
      <c r="C1269" t="s">
        <v>93</v>
      </c>
      <c r="D1269" t="s">
        <v>22</v>
      </c>
      <c r="E1269" t="s">
        <v>15</v>
      </c>
      <c r="F1269" t="s">
        <v>52</v>
      </c>
      <c r="G1269" t="s">
        <v>1860</v>
      </c>
      <c r="H1269">
        <f>HYPERLINK("https://www.jouwictvacature.nl/solliciteren?job=medior-reactjs-ontwikkelaar-bij-dotcontrol", "Link")</f>
        <v/>
      </c>
      <c r="I1269" t="s">
        <v>17</v>
      </c>
      <c r="J1269" t="s">
        <v>18</v>
      </c>
      <c r="K1269" t="s">
        <v>1849</v>
      </c>
      <c r="L1269" t="s">
        <v>1861</v>
      </c>
    </row>
    <row hidden="1" r="1270" s="1" spans="1:12">
      <c r="A1270" s="4" t="n">
        <v>43137</v>
      </c>
      <c r="B1270" t="s">
        <v>1847</v>
      </c>
      <c r="C1270" t="s">
        <v>1862</v>
      </c>
      <c r="D1270" t="s">
        <v>22</v>
      </c>
      <c r="E1270" t="s">
        <v>15</v>
      </c>
      <c r="F1270" t="s">
        <v>52</v>
      </c>
      <c r="G1270" t="s">
        <v>1863</v>
      </c>
      <c r="H1270">
        <f>HYPERLINK("https://www.jouwictvacature.nl/solliciteren?job=medior-creatieve-front-end-developer-3", "Link")</f>
        <v/>
      </c>
      <c r="I1270" t="s">
        <v>17</v>
      </c>
      <c r="J1270" t="s">
        <v>18</v>
      </c>
      <c r="K1270" t="s">
        <v>1849</v>
      </c>
      <c r="L1270" t="s">
        <v>1864</v>
      </c>
    </row>
    <row hidden="1" r="1271" s="1" spans="1:12">
      <c r="A1271" s="4" t="n">
        <v>43137</v>
      </c>
      <c r="B1271" t="s">
        <v>1847</v>
      </c>
      <c r="C1271" t="s">
        <v>1862</v>
      </c>
      <c r="D1271" t="s">
        <v>22</v>
      </c>
      <c r="E1271" t="s">
        <v>15</v>
      </c>
      <c r="F1271" t="s">
        <v>28</v>
      </c>
      <c r="G1271" t="s">
        <v>1855</v>
      </c>
      <c r="H1271">
        <f>HYPERLINK("https://www.jouwictvacature.nl/solliciteren?job=senior-creative-front-end-developer-bij-dotcontrol", "Link")</f>
        <v/>
      </c>
      <c r="I1271" t="s">
        <v>17</v>
      </c>
      <c r="J1271" t="s">
        <v>18</v>
      </c>
      <c r="K1271" t="s">
        <v>1849</v>
      </c>
      <c r="L1271" t="s">
        <v>1865</v>
      </c>
    </row>
    <row hidden="1" r="1272" s="1" spans="1:12">
      <c r="A1272" s="4" t="n">
        <v>43137</v>
      </c>
      <c r="B1272" t="s">
        <v>1866</v>
      </c>
      <c r="C1272" t="s">
        <v>76</v>
      </c>
      <c r="D1272" t="s">
        <v>14</v>
      </c>
      <c r="E1272" t="s">
        <v>15</v>
      </c>
      <c r="F1272" t="s">
        <v>16</v>
      </c>
      <c r="G1272" t="s">
        <v>1867</v>
      </c>
      <c r="H1272">
        <f>HYPERLINK("https://www.jouwictvacature.nl/solliciteren?job=frontend-developer-bij-kaartje2go", "Link")</f>
        <v/>
      </c>
      <c r="I1272" t="s">
        <v>17</v>
      </c>
      <c r="J1272" t="s">
        <v>18</v>
      </c>
      <c r="K1272" t="s">
        <v>1868</v>
      </c>
      <c r="L1272" t="s">
        <v>1869</v>
      </c>
    </row>
    <row hidden="1" r="1273" s="1" spans="1:12">
      <c r="A1273" s="4" t="n">
        <v>43137</v>
      </c>
      <c r="B1273" t="s">
        <v>71</v>
      </c>
      <c r="C1273" t="s">
        <v>76</v>
      </c>
      <c r="D1273" t="s">
        <v>22</v>
      </c>
      <c r="E1273" t="s">
        <v>15</v>
      </c>
      <c r="F1273" t="s">
        <v>28</v>
      </c>
      <c r="G1273" t="s">
        <v>1459</v>
      </c>
      <c r="H1273">
        <f>HYPERLINK("https://www.jouwictvacature.nl/solliciteren?job=senior-agile-test-specialist-bij-bartosz-bij-bartosz-zwolle", "Link")</f>
        <v/>
      </c>
      <c r="I1273" t="s">
        <v>17</v>
      </c>
      <c r="J1273" t="s">
        <v>18</v>
      </c>
      <c r="K1273" t="s">
        <v>91</v>
      </c>
      <c r="L1273" t="s">
        <v>1460</v>
      </c>
    </row>
    <row hidden="1" r="1274" s="1" spans="1:12">
      <c r="A1274" s="4" t="n">
        <v>43137</v>
      </c>
      <c r="B1274" t="s">
        <v>71</v>
      </c>
      <c r="C1274" t="s">
        <v>80</v>
      </c>
      <c r="D1274" t="s">
        <v>22</v>
      </c>
      <c r="E1274" t="s">
        <v>15</v>
      </c>
      <c r="F1274" t="s">
        <v>28</v>
      </c>
      <c r="G1274" t="s">
        <v>88</v>
      </c>
      <c r="H1274">
        <f>HYPERLINK("https://www.jouwictvacature.nl/solliciteren?job=senior-feedback-engineer-bij-bartosz-bij-bartosz-amsterdam", "Link")</f>
        <v/>
      </c>
      <c r="I1274" t="s">
        <v>17</v>
      </c>
      <c r="J1274" t="s">
        <v>18</v>
      </c>
      <c r="K1274" t="s">
        <v>78</v>
      </c>
      <c r="L1274" t="s">
        <v>1187</v>
      </c>
    </row>
    <row hidden="1" r="1275" s="1" spans="1:12">
      <c r="A1275" s="4" t="n">
        <v>43137</v>
      </c>
      <c r="B1275" t="s">
        <v>1724</v>
      </c>
      <c r="C1275" t="s">
        <v>1725</v>
      </c>
      <c r="D1275" t="s">
        <v>245</v>
      </c>
      <c r="E1275" t="s">
        <v>15</v>
      </c>
      <c r="F1275" t="s">
        <v>16</v>
      </c>
      <c r="G1275" t="s">
        <v>1870</v>
      </c>
      <c r="H1275">
        <f>HYPERLINK("https://www.jouwictvacature.nl/solliciteren?job=ervaren-rend-software-developer-bij-usoft-bij-usoft", "Link")</f>
        <v/>
      </c>
      <c r="I1275" t="s">
        <v>17</v>
      </c>
      <c r="J1275" t="s">
        <v>18</v>
      </c>
      <c r="K1275" t="s">
        <v>1871</v>
      </c>
      <c r="L1275" t="s">
        <v>1872</v>
      </c>
    </row>
    <row hidden="1" r="1276" s="1" spans="1:12">
      <c r="A1276" s="4" t="n">
        <v>43137</v>
      </c>
      <c r="B1276" t="s">
        <v>71</v>
      </c>
      <c r="C1276" t="s">
        <v>38</v>
      </c>
      <c r="D1276" t="s">
        <v>22</v>
      </c>
      <c r="E1276" t="s">
        <v>15</v>
      </c>
      <c r="F1276" t="s">
        <v>28</v>
      </c>
      <c r="G1276" t="s">
        <v>1873</v>
      </c>
      <c r="H1276">
        <f>HYPERLINK("https://www.jouwictvacature.nl/solliciteren?job=senior-feedback-engineer--exploratory-testing-context-driven-testing-b-3", "Link")</f>
        <v/>
      </c>
      <c r="I1276" t="s">
        <v>17</v>
      </c>
      <c r="J1276" t="s">
        <v>18</v>
      </c>
      <c r="K1276" t="s">
        <v>78</v>
      </c>
      <c r="L1276" t="s">
        <v>1874</v>
      </c>
    </row>
    <row hidden="1" r="1277" s="1" spans="1:12">
      <c r="A1277" s="4" t="n">
        <v>43137</v>
      </c>
      <c r="B1277" t="s">
        <v>71</v>
      </c>
      <c r="C1277" t="s">
        <v>72</v>
      </c>
      <c r="D1277" t="s">
        <v>22</v>
      </c>
      <c r="E1277" t="s">
        <v>15</v>
      </c>
      <c r="F1277" t="s">
        <v>28</v>
      </c>
      <c r="G1277" t="s">
        <v>99</v>
      </c>
      <c r="H1277">
        <f>HYPERLINK("https://www.jouwictvacature.nl/solliciteren?job=senior-feedback-engineer--exploratory-testing-context-driven-testing-b-5", "Link")</f>
        <v/>
      </c>
      <c r="I1277" t="s">
        <v>17</v>
      </c>
      <c r="J1277" t="s">
        <v>18</v>
      </c>
      <c r="K1277" t="s">
        <v>78</v>
      </c>
      <c r="L1277" t="s">
        <v>847</v>
      </c>
    </row>
    <row hidden="1" r="1278" s="1" spans="1:12">
      <c r="A1278" s="4" t="n">
        <v>43137</v>
      </c>
      <c r="B1278" t="s">
        <v>833</v>
      </c>
      <c r="C1278" t="s">
        <v>834</v>
      </c>
      <c r="D1278" t="s">
        <v>22</v>
      </c>
      <c r="E1278" t="s">
        <v>15</v>
      </c>
      <c r="F1278" t="s">
        <v>28</v>
      </c>
      <c r="G1278" t="s">
        <v>1422</v>
      </c>
      <c r="H1278">
        <f>HYPERLINK("https://www.jouwictvacature.nl/solliciteren?job=senior-java-developer-8", "Link")</f>
        <v/>
      </c>
      <c r="I1278" t="s">
        <v>17</v>
      </c>
      <c r="J1278" t="s">
        <v>18</v>
      </c>
      <c r="K1278" t="s">
        <v>1423</v>
      </c>
      <c r="L1278" t="s">
        <v>1424</v>
      </c>
    </row>
    <row hidden="1" r="1279" s="1" spans="1:12">
      <c r="A1279" s="4" t="n">
        <v>43137</v>
      </c>
      <c r="B1279" t="s">
        <v>174</v>
      </c>
      <c r="C1279" t="s">
        <v>80</v>
      </c>
      <c r="D1279" t="s">
        <v>22</v>
      </c>
      <c r="E1279" t="s">
        <v>15</v>
      </c>
      <c r="F1279" t="s">
        <v>28</v>
      </c>
      <c r="G1279" t="s">
        <v>1782</v>
      </c>
      <c r="H1279">
        <f>HYPERLINK("https://www.jouwictvacature.nl/solliciteren?job=senior-java-developer--hibernate-jpa-spring-mvc-oracle-bij-dpa-geos", "Link")</f>
        <v/>
      </c>
      <c r="I1279" t="s">
        <v>17</v>
      </c>
      <c r="J1279" t="s">
        <v>18</v>
      </c>
      <c r="K1279" t="s">
        <v>179</v>
      </c>
      <c r="L1279" t="s">
        <v>1783</v>
      </c>
    </row>
    <row hidden="1" r="1280" s="1" spans="1:12">
      <c r="A1280" s="4" t="n">
        <v>43137</v>
      </c>
      <c r="B1280" t="s">
        <v>61</v>
      </c>
      <c r="C1280" t="s">
        <v>62</v>
      </c>
      <c r="D1280" t="s">
        <v>22</v>
      </c>
      <c r="E1280" t="s">
        <v>15</v>
      </c>
      <c r="F1280" t="s">
        <v>52</v>
      </c>
      <c r="G1280" t="s">
        <v>1651</v>
      </c>
      <c r="H1280">
        <f>HYPERLINK("https://www.jouwictvacature.nl/solliciteren?job=medior-software-engineer-bij-axual--java-apache-kafka--incl-macbook-pr", "Link")</f>
        <v/>
      </c>
      <c r="I1280" t="s">
        <v>17</v>
      </c>
      <c r="J1280" t="s">
        <v>18</v>
      </c>
      <c r="K1280" t="s">
        <v>69</v>
      </c>
      <c r="L1280" t="s">
        <v>1652</v>
      </c>
    </row>
    <row hidden="1" r="1281" s="1" spans="1:12">
      <c r="A1281" s="4" t="n">
        <v>43137</v>
      </c>
      <c r="B1281" t="s">
        <v>1377</v>
      </c>
      <c r="C1281" t="s">
        <v>1378</v>
      </c>
      <c r="D1281" t="s">
        <v>22</v>
      </c>
      <c r="E1281" t="s">
        <v>15</v>
      </c>
      <c r="F1281" t="s">
        <v>16</v>
      </c>
      <c r="G1281" t="s">
        <v>1386</v>
      </c>
      <c r="H1281">
        <f>HYPERLINK("https://www.jouwictvacature.nl/solliciteren?job=in-de-suikersilos-in-halfweg-aan-de-slag-als-medior-java-developer-bij", "Link")</f>
        <v/>
      </c>
      <c r="I1281" t="s">
        <v>17</v>
      </c>
      <c r="J1281" t="s">
        <v>18</v>
      </c>
      <c r="K1281" t="s">
        <v>1810</v>
      </c>
      <c r="L1281" t="s">
        <v>1387</v>
      </c>
    </row>
    <row hidden="1" r="1282" s="1" spans="1:12">
      <c r="A1282" s="4" t="n">
        <v>43137</v>
      </c>
      <c r="B1282" t="s">
        <v>164</v>
      </c>
      <c r="C1282" t="s">
        <v>80</v>
      </c>
      <c r="D1282" t="s">
        <v>22</v>
      </c>
      <c r="E1282" t="s">
        <v>15</v>
      </c>
      <c r="F1282" t="s">
        <v>28</v>
      </c>
      <c r="G1282" t="s">
        <v>756</v>
      </c>
      <c r="H1282">
        <f>HYPERLINK("https://www.jouwictvacature.nl/solliciteren?job=senior-java-developer-in-amsterdam--iot-java-ruby-c-soa-saas-bij-dexel", "Link")</f>
        <v/>
      </c>
      <c r="I1282" t="s">
        <v>17</v>
      </c>
      <c r="J1282" t="s">
        <v>18</v>
      </c>
      <c r="K1282" t="s">
        <v>169</v>
      </c>
      <c r="L1282" t="s">
        <v>757</v>
      </c>
    </row>
    <row hidden="1" r="1283" s="1" spans="1:12">
      <c r="A1283" s="4" t="n">
        <v>43137</v>
      </c>
      <c r="B1283" t="s">
        <v>701</v>
      </c>
      <c r="C1283" t="s">
        <v>702</v>
      </c>
      <c r="D1283" t="s">
        <v>22</v>
      </c>
      <c r="E1283" t="s">
        <v>15</v>
      </c>
      <c r="F1283" t="s">
        <v>28</v>
      </c>
      <c r="G1283" t="s">
        <v>1588</v>
      </c>
      <c r="H1283">
        <f>HYPERLINK("https://www.jouwictvacature.nl/solliciteren?job=senior-aspnetc-ontwikkelaar", "Link")</f>
        <v/>
      </c>
      <c r="I1283" t="s">
        <v>17</v>
      </c>
      <c r="J1283" t="s">
        <v>18</v>
      </c>
      <c r="K1283" t="s">
        <v>704</v>
      </c>
      <c r="L1283" t="s">
        <v>1589</v>
      </c>
    </row>
    <row hidden="1" r="1284" s="1" spans="1:12">
      <c r="A1284" s="4" t="n">
        <v>43137</v>
      </c>
      <c r="B1284" t="s">
        <v>693</v>
      </c>
      <c r="C1284" t="s">
        <v>694</v>
      </c>
      <c r="D1284" t="s">
        <v>22</v>
      </c>
      <c r="E1284" t="s">
        <v>15</v>
      </c>
      <c r="F1284" t="s">
        <v>16</v>
      </c>
      <c r="G1284" t="s">
        <v>693</v>
      </c>
      <c r="H1284">
        <f>HYPERLINK("https://www.jouwictvacature.nl/solliciteren?job=traineeship-mendix-developer-bij-de-goudse-verzekeringen-bij-de-goudse", "Link")</f>
        <v/>
      </c>
      <c r="I1284" t="s">
        <v>17</v>
      </c>
      <c r="J1284" t="s">
        <v>18</v>
      </c>
      <c r="K1284" t="s">
        <v>1163</v>
      </c>
      <c r="L1284" t="s">
        <v>1164</v>
      </c>
    </row>
    <row hidden="1" r="1285" s="1" spans="1:12">
      <c r="A1285" s="4" t="n">
        <v>43137</v>
      </c>
      <c r="B1285" t="s">
        <v>701</v>
      </c>
      <c r="C1285" t="s">
        <v>702</v>
      </c>
      <c r="D1285" t="s">
        <v>22</v>
      </c>
      <c r="E1285" t="s">
        <v>15</v>
      </c>
      <c r="F1285" t="s">
        <v>34</v>
      </c>
      <c r="G1285" t="s">
        <v>703</v>
      </c>
      <c r="H1285">
        <f>HYPERLINK("https://www.jouwictvacature.nl/solliciteren?job=junior-cnet-developer-bij-bookerz", "Link")</f>
        <v/>
      </c>
      <c r="I1285" t="s">
        <v>17</v>
      </c>
      <c r="J1285" t="s">
        <v>18</v>
      </c>
      <c r="K1285" t="s">
        <v>704</v>
      </c>
      <c r="L1285" t="s">
        <v>705</v>
      </c>
    </row>
    <row hidden="1" r="1286" s="1" spans="1:12">
      <c r="A1286" s="4" t="n">
        <v>43137</v>
      </c>
      <c r="B1286" t="s">
        <v>391</v>
      </c>
      <c r="C1286" t="s">
        <v>392</v>
      </c>
      <c r="D1286" t="s">
        <v>14</v>
      </c>
      <c r="E1286" t="s">
        <v>15</v>
      </c>
      <c r="F1286" t="s">
        <v>16</v>
      </c>
      <c r="G1286" t="s">
        <v>393</v>
      </c>
      <c r="H1286">
        <f>HYPERLINK("https://www.jouwictvacature.nl/solliciteren?job=principal-c-aspnet-mvc-bij-paralax", "Link")</f>
        <v/>
      </c>
      <c r="I1286" t="s">
        <v>17</v>
      </c>
      <c r="J1286" t="s">
        <v>18</v>
      </c>
      <c r="K1286" t="s">
        <v>394</v>
      </c>
      <c r="L1286" t="s">
        <v>395</v>
      </c>
    </row>
    <row hidden="1" r="1287" s="1" spans="1:12">
      <c r="A1287" s="4" t="n">
        <v>43137</v>
      </c>
      <c r="B1287" t="s">
        <v>618</v>
      </c>
      <c r="C1287" t="s">
        <v>619</v>
      </c>
      <c r="D1287" t="s">
        <v>22</v>
      </c>
      <c r="E1287" t="s">
        <v>15</v>
      </c>
      <c r="F1287" t="s">
        <v>16</v>
      </c>
      <c r="G1287" t="s">
        <v>1875</v>
      </c>
      <c r="H1287">
        <f>HYPERLINK("https://www.jouwictvacature.nl/solliciteren?job=ambitieuze-developer-net-applicaties-voor-mooie-klanten-als-de-eftelin-2", "Link")</f>
        <v/>
      </c>
      <c r="I1287" t="s">
        <v>17</v>
      </c>
      <c r="J1287" t="s">
        <v>18</v>
      </c>
      <c r="K1287" t="s">
        <v>621</v>
      </c>
      <c r="L1287" t="s">
        <v>1876</v>
      </c>
    </row>
    <row r="1288" spans="1:12">
      <c r="A1288" s="4" t="n">
        <v>43137</v>
      </c>
      <c r="B1288" t="s">
        <v>963</v>
      </c>
      <c r="C1288" t="s">
        <v>38</v>
      </c>
      <c r="D1288" t="s">
        <v>14</v>
      </c>
      <c r="E1288" t="s">
        <v>51</v>
      </c>
      <c r="F1288" t="s">
        <v>52</v>
      </c>
      <c r="G1288" t="s">
        <v>1196</v>
      </c>
      <c r="H1288">
        <f>HYPERLINK("https://www.jouwictvacature.nl/solliciteren?job=medior-software-engineer-focus-on-front-end-bij-pyton-an-amadeus-compa", "Link")</f>
        <v/>
      </c>
      <c r="I1288" t="s">
        <v>17</v>
      </c>
      <c r="J1288" t="s">
        <v>18</v>
      </c>
      <c r="K1288" t="s">
        <v>965</v>
      </c>
      <c r="L1288" t="s">
        <v>1197</v>
      </c>
    </row>
    <row hidden="1" r="1289" s="1" spans="1:12">
      <c r="A1289" s="4" t="n">
        <v>43137</v>
      </c>
      <c r="B1289" t="s">
        <v>693</v>
      </c>
      <c r="C1289" t="s">
        <v>694</v>
      </c>
      <c r="D1289" t="s">
        <v>22</v>
      </c>
      <c r="E1289" t="s">
        <v>15</v>
      </c>
      <c r="F1289" t="s">
        <v>16</v>
      </c>
      <c r="G1289" t="s">
        <v>693</v>
      </c>
      <c r="H1289">
        <f>HYPERLINK("https://www.jouwictvacature.nl/solliciteren?job=senior-mendix-ontwikkelaar-", "Link")</f>
        <v/>
      </c>
      <c r="I1289" t="s">
        <v>17</v>
      </c>
      <c r="J1289" t="s">
        <v>18</v>
      </c>
      <c r="K1289" t="s">
        <v>695</v>
      </c>
      <c r="L1289" t="s">
        <v>696</v>
      </c>
    </row>
    <row hidden="1" r="1290" s="1" spans="1:12">
      <c r="A1290" s="4" t="n">
        <v>43137</v>
      </c>
      <c r="B1290" t="s">
        <v>49</v>
      </c>
      <c r="C1290" t="s">
        <v>50</v>
      </c>
      <c r="D1290" t="s">
        <v>22</v>
      </c>
      <c r="E1290" t="s">
        <v>15</v>
      </c>
      <c r="F1290" t="s">
        <v>52</v>
      </c>
      <c r="G1290" t="s">
        <v>318</v>
      </c>
      <c r="H1290">
        <f>HYPERLINK("https://www.jouwictvacature.nl/solliciteren?job=junior-front-end-developer-angular-2-", "Link")</f>
        <v/>
      </c>
      <c r="I1290" t="s">
        <v>17</v>
      </c>
      <c r="J1290" t="s">
        <v>18</v>
      </c>
      <c r="K1290" t="s">
        <v>1249</v>
      </c>
      <c r="L1290" t="s">
        <v>1250</v>
      </c>
    </row>
    <row hidden="1" r="1291" s="1" spans="1:12">
      <c r="A1291" s="4" t="n">
        <v>43137</v>
      </c>
      <c r="B1291" t="s">
        <v>386</v>
      </c>
      <c r="C1291" t="s">
        <v>387</v>
      </c>
      <c r="D1291" t="s">
        <v>14</v>
      </c>
      <c r="E1291" t="s">
        <v>15</v>
      </c>
      <c r="F1291" t="s">
        <v>28</v>
      </c>
      <c r="G1291" t="s">
        <v>870</v>
      </c>
      <c r="H1291">
        <f>HYPERLINK("https://www.jouwictvacature.nl/solliciteren?job=senior-net-developer-bij-packs", "Link")</f>
        <v/>
      </c>
      <c r="I1291" t="s">
        <v>17</v>
      </c>
      <c r="J1291" t="s">
        <v>18</v>
      </c>
      <c r="K1291" t="s">
        <v>389</v>
      </c>
      <c r="L1291" t="s">
        <v>871</v>
      </c>
    </row>
    <row hidden="1" r="1292" s="1" spans="1:12">
      <c r="A1292" s="4" t="n">
        <v>43137</v>
      </c>
      <c r="B1292" t="s">
        <v>49</v>
      </c>
      <c r="C1292" t="s">
        <v>50</v>
      </c>
      <c r="D1292" t="s">
        <v>22</v>
      </c>
      <c r="E1292" t="s">
        <v>15</v>
      </c>
      <c r="F1292" t="s">
        <v>34</v>
      </c>
      <c r="G1292" t="s">
        <v>551</v>
      </c>
      <c r="H1292">
        <f>HYPERLINK("https://www.jouwictvacature.nl/solliciteren?job=front-end-developer-angular-2-", "Link")</f>
        <v/>
      </c>
      <c r="I1292" t="s">
        <v>17</v>
      </c>
      <c r="J1292" t="s">
        <v>18</v>
      </c>
      <c r="K1292" t="s">
        <v>1249</v>
      </c>
      <c r="L1292" t="s">
        <v>1877</v>
      </c>
    </row>
    <row hidden="1" r="1293" s="1" spans="1:12">
      <c r="A1293" s="4" t="n">
        <v>43137</v>
      </c>
      <c r="B1293" t="s">
        <v>719</v>
      </c>
      <c r="C1293" t="s">
        <v>93</v>
      </c>
      <c r="D1293" t="s">
        <v>22</v>
      </c>
      <c r="E1293" t="s">
        <v>15</v>
      </c>
      <c r="F1293" t="s">
        <v>28</v>
      </c>
      <c r="G1293" t="s">
        <v>1671</v>
      </c>
      <c r="H1293">
        <f>HYPERLINK("https://www.jouwictvacature.nl/solliciteren?job=senior-laravel-back-end-developer-bij-23g", "Link")</f>
        <v/>
      </c>
      <c r="I1293" t="s">
        <v>17</v>
      </c>
      <c r="J1293" t="s">
        <v>18</v>
      </c>
      <c r="K1293" t="s">
        <v>721</v>
      </c>
      <c r="L1293" t="s">
        <v>1672</v>
      </c>
    </row>
    <row hidden="1" r="1294" s="1" spans="1:12">
      <c r="A1294" s="4" t="n">
        <v>43137</v>
      </c>
      <c r="B1294" t="s">
        <v>432</v>
      </c>
      <c r="C1294" t="s">
        <v>433</v>
      </c>
      <c r="D1294" t="s">
        <v>245</v>
      </c>
      <c r="E1294" t="s">
        <v>15</v>
      </c>
      <c r="F1294" t="s">
        <v>16</v>
      </c>
      <c r="G1294" t="s">
        <v>1358</v>
      </c>
      <c r="H1294">
        <f>HYPERLINK("https://www.jouwictvacature.nl/solliciteren?job=medior-back-end-developer-regio-groningen", "Link")</f>
        <v/>
      </c>
      <c r="I1294" t="s">
        <v>17</v>
      </c>
      <c r="J1294" t="s">
        <v>18</v>
      </c>
      <c r="K1294" t="s">
        <v>435</v>
      </c>
      <c r="L1294" t="s">
        <v>1359</v>
      </c>
    </row>
    <row hidden="1" r="1295" s="1" spans="1:12">
      <c r="A1295" s="4" t="n">
        <v>43137</v>
      </c>
      <c r="B1295" t="s">
        <v>26</v>
      </c>
      <c r="C1295" t="s">
        <v>27</v>
      </c>
      <c r="D1295" t="s">
        <v>22</v>
      </c>
      <c r="E1295" t="s">
        <v>15</v>
      </c>
      <c r="F1295" t="s">
        <v>34</v>
      </c>
      <c r="G1295" t="s">
        <v>35</v>
      </c>
      <c r="H1295">
        <f>HYPERLINK("https://www.jouwictvacature.nl/solliciteren?job=junior-php-back-end-developer-bij-aan-zee-communicatie", "Link")</f>
        <v/>
      </c>
      <c r="I1295" t="s">
        <v>17</v>
      </c>
      <c r="J1295" t="s">
        <v>18</v>
      </c>
      <c r="K1295" t="s">
        <v>30</v>
      </c>
      <c r="L1295" t="s">
        <v>36</v>
      </c>
    </row>
    <row hidden="1" r="1296" s="1" spans="1:12">
      <c r="A1296" s="4" t="n">
        <v>43137</v>
      </c>
      <c r="B1296" t="s">
        <v>634</v>
      </c>
      <c r="C1296" t="s">
        <v>635</v>
      </c>
      <c r="D1296" t="s">
        <v>22</v>
      </c>
      <c r="E1296" t="s">
        <v>15</v>
      </c>
      <c r="F1296" t="s">
        <v>52</v>
      </c>
      <c r="G1296" t="s">
        <v>1796</v>
      </c>
      <c r="H1296">
        <f>HYPERLINK("https://www.jouwictvacature.nl/solliciteren?job=medior-php-wordpress-developer-bij-bureau-vet", "Link")</f>
        <v/>
      </c>
      <c r="I1296" t="s">
        <v>17</v>
      </c>
      <c r="J1296" t="s">
        <v>18</v>
      </c>
      <c r="K1296" t="s">
        <v>1797</v>
      </c>
      <c r="L1296" t="s">
        <v>1798</v>
      </c>
    </row>
    <row hidden="1" r="1297" s="1" spans="1:12">
      <c r="A1297" s="4" t="n">
        <v>43137</v>
      </c>
      <c r="B1297" t="s">
        <v>396</v>
      </c>
      <c r="C1297" t="s">
        <v>397</v>
      </c>
      <c r="D1297" t="s">
        <v>14</v>
      </c>
      <c r="E1297" t="s">
        <v>15</v>
      </c>
      <c r="F1297" t="s">
        <v>28</v>
      </c>
      <c r="G1297" t="s">
        <v>398</v>
      </c>
      <c r="H1297">
        <f>HYPERLINK("https://www.jouwictvacature.nl/solliciteren?job=senior-backend-developer-2", "Link")</f>
        <v/>
      </c>
      <c r="I1297" t="s">
        <v>17</v>
      </c>
      <c r="J1297" t="s">
        <v>18</v>
      </c>
      <c r="K1297" t="s">
        <v>399</v>
      </c>
      <c r="L1297" t="s">
        <v>400</v>
      </c>
    </row>
    <row hidden="1" r="1298" s="1" spans="1:12">
      <c r="A1298" s="4" t="n">
        <v>43137</v>
      </c>
      <c r="B1298" t="s">
        <v>493</v>
      </c>
      <c r="C1298" t="s">
        <v>72</v>
      </c>
      <c r="D1298" t="s">
        <v>245</v>
      </c>
      <c r="E1298" t="s">
        <v>15</v>
      </c>
      <c r="F1298" t="s">
        <v>52</v>
      </c>
      <c r="G1298" t="s">
        <v>715</v>
      </c>
      <c r="H1298">
        <f>HYPERLINK("https://www.jouwictvacature.nl/solliciteren?job=medior-full-stack-developer-bij-sumedia", "Link")</f>
        <v/>
      </c>
      <c r="I1298" t="s">
        <v>17</v>
      </c>
      <c r="J1298" t="s">
        <v>18</v>
      </c>
      <c r="K1298" t="s">
        <v>495</v>
      </c>
      <c r="L1298" t="s">
        <v>716</v>
      </c>
    </row>
    <row hidden="1" r="1299" s="1" spans="1:12">
      <c r="A1299" s="4" t="n">
        <v>43137</v>
      </c>
      <c r="B1299" t="s">
        <v>493</v>
      </c>
      <c r="C1299" t="s">
        <v>72</v>
      </c>
      <c r="D1299" t="s">
        <v>245</v>
      </c>
      <c r="E1299" t="s">
        <v>15</v>
      </c>
      <c r="F1299" t="s">
        <v>28</v>
      </c>
      <c r="G1299" t="s">
        <v>734</v>
      </c>
      <c r="H1299">
        <f>HYPERLINK("https://www.jouwictvacature.nl/solliciteren?job=senior-full-stack-developer-bij-sumedia", "Link")</f>
        <v/>
      </c>
      <c r="I1299" t="s">
        <v>17</v>
      </c>
      <c r="J1299" t="s">
        <v>18</v>
      </c>
      <c r="K1299" t="s">
        <v>495</v>
      </c>
      <c r="L1299" t="s">
        <v>735</v>
      </c>
    </row>
    <row hidden="1" r="1300" s="1" spans="1:12">
      <c r="A1300" s="4" t="n">
        <v>43137</v>
      </c>
      <c r="B1300" t="s">
        <v>719</v>
      </c>
      <c r="C1300" t="s">
        <v>93</v>
      </c>
      <c r="D1300" t="s">
        <v>245</v>
      </c>
      <c r="E1300" t="s">
        <v>15</v>
      </c>
      <c r="F1300" t="s">
        <v>16</v>
      </c>
      <c r="G1300" t="s">
        <v>1388</v>
      </c>
      <c r="H1300">
        <f>HYPERLINK("https://www.jouwictvacature.nl/solliciteren?job=back-end-developer-6", "Link")</f>
        <v/>
      </c>
      <c r="I1300" t="s">
        <v>17</v>
      </c>
      <c r="J1300" t="s">
        <v>18</v>
      </c>
      <c r="K1300" t="s">
        <v>721</v>
      </c>
      <c r="L1300" t="s">
        <v>1389</v>
      </c>
    </row>
    <row hidden="1" r="1301" s="1" spans="1:12">
      <c r="A1301" s="4" t="n">
        <v>43137</v>
      </c>
      <c r="B1301" t="s">
        <v>725</v>
      </c>
      <c r="C1301" t="s">
        <v>726</v>
      </c>
      <c r="D1301" t="s">
        <v>22</v>
      </c>
      <c r="E1301" t="s">
        <v>15</v>
      </c>
      <c r="F1301" t="s">
        <v>52</v>
      </c>
      <c r="G1301" t="s">
        <v>727</v>
      </c>
      <c r="H1301">
        <f>HYPERLINK("https://www.jouwictvacature.nl/solliciteren?job=medior-laravel-developer-bij-flashpoint", "Link")</f>
        <v/>
      </c>
      <c r="I1301" t="s">
        <v>17</v>
      </c>
      <c r="J1301" t="s">
        <v>18</v>
      </c>
      <c r="K1301" t="s">
        <v>728</v>
      </c>
      <c r="L1301" t="s">
        <v>729</v>
      </c>
    </row>
    <row hidden="1" r="1302" s="1" spans="1:12">
      <c r="A1302" s="4" t="n">
        <v>43137</v>
      </c>
      <c r="B1302" t="s">
        <v>26</v>
      </c>
      <c r="C1302" t="s">
        <v>27</v>
      </c>
      <c r="D1302" t="s">
        <v>22</v>
      </c>
      <c r="E1302" t="s">
        <v>15</v>
      </c>
      <c r="F1302" t="s">
        <v>28</v>
      </c>
      <c r="G1302" t="s">
        <v>29</v>
      </c>
      <c r="H1302">
        <f>HYPERLINK("https://www.jouwictvacature.nl/solliciteren?job=senior-laravel-developer-bij-aan-zee-communicatie", "Link")</f>
        <v/>
      </c>
      <c r="I1302" t="s">
        <v>17</v>
      </c>
      <c r="J1302" t="s">
        <v>18</v>
      </c>
      <c r="K1302" t="s">
        <v>30</v>
      </c>
      <c r="L1302" t="s">
        <v>31</v>
      </c>
    </row>
    <row hidden="1" r="1303" s="1" spans="1:12">
      <c r="A1303" s="4" t="n">
        <v>43137</v>
      </c>
      <c r="B1303" t="s">
        <v>1377</v>
      </c>
      <c r="C1303" t="s">
        <v>1378</v>
      </c>
      <c r="D1303" t="s">
        <v>22</v>
      </c>
      <c r="E1303" t="s">
        <v>15</v>
      </c>
      <c r="F1303" t="s">
        <v>16</v>
      </c>
      <c r="G1303" t="s">
        <v>1377</v>
      </c>
      <c r="H1303">
        <f>HYPERLINK("https://www.jouwictvacature.nl/solliciteren?job=medior-front-end-developer-bij-gappless", "Link")</f>
        <v/>
      </c>
      <c r="I1303" t="s">
        <v>17</v>
      </c>
      <c r="J1303" t="s">
        <v>18</v>
      </c>
      <c r="K1303" t="s">
        <v>1878</v>
      </c>
      <c r="L1303" t="s">
        <v>1879</v>
      </c>
    </row>
    <row hidden="1" r="1304" s="1" spans="1:12">
      <c r="A1304" s="4" t="n">
        <v>43137</v>
      </c>
      <c r="B1304" t="s">
        <v>903</v>
      </c>
      <c r="C1304" t="s">
        <v>72</v>
      </c>
      <c r="D1304" t="s">
        <v>22</v>
      </c>
      <c r="E1304" t="s">
        <v>15</v>
      </c>
      <c r="F1304" t="s">
        <v>28</v>
      </c>
      <c r="G1304" t="s">
        <v>1880</v>
      </c>
      <c r="H1304">
        <f>HYPERLINK("https://www.jouwictvacature.nl/solliciteren?job=senior-front-end-developer-bij-crv-bij-crv", "Link")</f>
        <v/>
      </c>
      <c r="I1304" t="s">
        <v>17</v>
      </c>
      <c r="J1304" t="s">
        <v>18</v>
      </c>
      <c r="K1304" t="s">
        <v>905</v>
      </c>
      <c r="L1304" t="s">
        <v>1881</v>
      </c>
    </row>
    <row hidden="1" r="1305" s="1" spans="1:12">
      <c r="A1305" s="4" t="n">
        <v>43137</v>
      </c>
      <c r="B1305" t="s">
        <v>230</v>
      </c>
      <c r="C1305" t="s">
        <v>93</v>
      </c>
      <c r="D1305" t="s">
        <v>22</v>
      </c>
      <c r="E1305" t="s">
        <v>15</v>
      </c>
      <c r="F1305" t="s">
        <v>16</v>
      </c>
      <c r="G1305" t="s">
        <v>234</v>
      </c>
      <c r="H1305">
        <f>HYPERLINK("https://www.jouwictvacature.nl/solliciteren?job=php-programmeur-17", "Link")</f>
        <v/>
      </c>
      <c r="I1305" t="s">
        <v>17</v>
      </c>
      <c r="J1305" t="s">
        <v>18</v>
      </c>
      <c r="K1305" t="s">
        <v>235</v>
      </c>
      <c r="L1305" t="s">
        <v>236</v>
      </c>
    </row>
    <row hidden="1" r="1306" s="1" spans="1:12">
      <c r="A1306" s="4" t="n">
        <v>43137</v>
      </c>
      <c r="B1306" t="s">
        <v>142</v>
      </c>
      <c r="C1306" t="s">
        <v>143</v>
      </c>
      <c r="D1306" t="s">
        <v>22</v>
      </c>
      <c r="E1306" t="s">
        <v>15</v>
      </c>
      <c r="F1306" t="s">
        <v>28</v>
      </c>
      <c r="G1306" t="s">
        <v>1882</v>
      </c>
      <c r="H1306">
        <f>HYPERLINK("https://www.jouwictvacature.nl/solliciteren?job=senior-web-developer-bij-coas", "Link")</f>
        <v/>
      </c>
      <c r="I1306" t="s">
        <v>17</v>
      </c>
      <c r="J1306" t="s">
        <v>18</v>
      </c>
      <c r="K1306" t="s">
        <v>145</v>
      </c>
      <c r="L1306" t="s">
        <v>1883</v>
      </c>
    </row>
    <row hidden="1" r="1307" s="1" spans="1:12">
      <c r="A1307" s="4" t="n">
        <v>43137</v>
      </c>
      <c r="B1307" t="s">
        <v>317</v>
      </c>
      <c r="C1307" t="s">
        <v>45</v>
      </c>
      <c r="D1307" t="s">
        <v>14</v>
      </c>
      <c r="E1307" t="s">
        <v>15</v>
      </c>
      <c r="F1307" t="s">
        <v>52</v>
      </c>
      <c r="G1307" t="s">
        <v>653</v>
      </c>
      <c r="H1307">
        <f>HYPERLINK("https://www.jouwictvacature.nl/solliciteren?job=medior-javascript-developer-bij-maximumnl", "Link")</f>
        <v/>
      </c>
      <c r="I1307" t="s">
        <v>17</v>
      </c>
      <c r="J1307" t="s">
        <v>18</v>
      </c>
      <c r="K1307" t="s">
        <v>319</v>
      </c>
      <c r="L1307" t="s">
        <v>654</v>
      </c>
    </row>
    <row r="1308" spans="1:12">
      <c r="A1308" s="4" t="n">
        <v>43137</v>
      </c>
      <c r="B1308" t="s">
        <v>664</v>
      </c>
      <c r="C1308" t="s">
        <v>498</v>
      </c>
      <c r="D1308" t="s">
        <v>245</v>
      </c>
      <c r="E1308" t="s">
        <v>51</v>
      </c>
      <c r="F1308" t="s">
        <v>52</v>
      </c>
      <c r="G1308" t="s">
        <v>1741</v>
      </c>
      <c r="H1308">
        <f>HYPERLINK("https://www.jouwictvacature.nl/solliciteren?job=medior-fullstack-developer-bij-we4sea", "Link")</f>
        <v/>
      </c>
      <c r="I1308" t="s">
        <v>17</v>
      </c>
      <c r="J1308" t="s">
        <v>18</v>
      </c>
      <c r="K1308" t="s">
        <v>666</v>
      </c>
      <c r="L1308" t="s">
        <v>1742</v>
      </c>
    </row>
    <row hidden="1" r="1309" s="1" spans="1:12">
      <c r="A1309" s="4" t="n">
        <v>43137</v>
      </c>
      <c r="B1309" t="s">
        <v>574</v>
      </c>
      <c r="C1309" t="s">
        <v>575</v>
      </c>
      <c r="D1309" t="s">
        <v>245</v>
      </c>
      <c r="E1309" t="s">
        <v>15</v>
      </c>
      <c r="F1309" t="s">
        <v>34</v>
      </c>
      <c r="G1309" t="s">
        <v>1884</v>
      </c>
      <c r="H1309">
        <f>HYPERLINK("https://www.jouwictvacature.nl/solliciteren?job=front-end-developer-breed-inzetbare-codeklopper-36-40uur", "Link")</f>
        <v/>
      </c>
      <c r="I1309" t="s">
        <v>17</v>
      </c>
      <c r="J1309" t="s">
        <v>18</v>
      </c>
      <c r="K1309" t="s">
        <v>1885</v>
      </c>
      <c r="L1309" t="s">
        <v>1886</v>
      </c>
    </row>
    <row r="1310" spans="1:12">
      <c r="A1310" s="4" t="n">
        <v>43137</v>
      </c>
      <c r="B1310" t="s">
        <v>664</v>
      </c>
      <c r="C1310" t="s">
        <v>498</v>
      </c>
      <c r="D1310" t="s">
        <v>245</v>
      </c>
      <c r="E1310" t="s">
        <v>51</v>
      </c>
      <c r="F1310" t="s">
        <v>28</v>
      </c>
      <c r="G1310" t="s">
        <v>321</v>
      </c>
      <c r="H1310">
        <f>HYPERLINK("https://www.jouwictvacature.nl/solliciteren?job=seniorjavascript-developer-bij-we4sea", "Link")</f>
        <v/>
      </c>
      <c r="I1310" t="s">
        <v>17</v>
      </c>
      <c r="J1310" t="s">
        <v>18</v>
      </c>
      <c r="K1310" t="s">
        <v>666</v>
      </c>
      <c r="L1310" t="s">
        <v>1887</v>
      </c>
    </row>
    <row hidden="1" r="1311" s="1" spans="1:12">
      <c r="A1311" s="4" t="n">
        <v>43137</v>
      </c>
      <c r="B1311" t="s">
        <v>136</v>
      </c>
      <c r="C1311" t="s">
        <v>137</v>
      </c>
      <c r="D1311" t="s">
        <v>22</v>
      </c>
      <c r="E1311" t="s">
        <v>15</v>
      </c>
      <c r="F1311" t="s">
        <v>16</v>
      </c>
      <c r="G1311" t="s">
        <v>138</v>
      </c>
      <c r="H1311">
        <f>HYPERLINK("https://www.jouwictvacature.nl/solliciteren?job=software-developer-bij-cgi-2", "Link")</f>
        <v/>
      </c>
      <c r="I1311" t="s">
        <v>17</v>
      </c>
      <c r="J1311" t="s">
        <v>18</v>
      </c>
      <c r="K1311" t="s">
        <v>139</v>
      </c>
      <c r="L1311" t="s">
        <v>1317</v>
      </c>
    </row>
    <row hidden="1" r="1312" s="1" spans="1:12">
      <c r="A1312" s="4" t="n">
        <v>43137</v>
      </c>
      <c r="B1312" t="s">
        <v>1251</v>
      </c>
      <c r="C1312" t="s">
        <v>1252</v>
      </c>
      <c r="D1312" t="s">
        <v>14</v>
      </c>
      <c r="E1312" t="s">
        <v>15</v>
      </c>
      <c r="F1312" t="s">
        <v>16</v>
      </c>
      <c r="G1312" t="s">
        <v>1251</v>
      </c>
      <c r="H1312">
        <f>HYPERLINK("https://www.jouwictvacature.nl/solliciteren?job=senior-front-end-developer-bij-webshop-indi", "Link")</f>
        <v/>
      </c>
      <c r="I1312" t="s">
        <v>17</v>
      </c>
      <c r="J1312" t="s">
        <v>18</v>
      </c>
      <c r="K1312" t="s">
        <v>1888</v>
      </c>
      <c r="L1312" t="s">
        <v>1889</v>
      </c>
    </row>
    <row hidden="1" r="1313" s="1" spans="1:12">
      <c r="A1313" s="4" t="n">
        <v>43137</v>
      </c>
      <c r="B1313" t="s">
        <v>71</v>
      </c>
      <c r="C1313" t="s">
        <v>80</v>
      </c>
      <c r="D1313" t="s">
        <v>22</v>
      </c>
      <c r="E1313" t="s">
        <v>15</v>
      </c>
      <c r="F1313" t="s">
        <v>16</v>
      </c>
      <c r="G1313" t="s">
        <v>81</v>
      </c>
      <c r="H1313">
        <f>HYPERLINK("https://www.jouwictvacature.nl/solliciteren?job=traineeship-agile-test-engineer-bij-bartosz-bij-bartosz-amsterdam", "Link")</f>
        <v/>
      </c>
      <c r="I1313" t="s">
        <v>17</v>
      </c>
      <c r="J1313" t="s">
        <v>18</v>
      </c>
      <c r="K1313" t="s">
        <v>82</v>
      </c>
      <c r="L1313" t="s">
        <v>83</v>
      </c>
    </row>
    <row hidden="1" r="1314" s="1" spans="1:12">
      <c r="A1314" s="4" t="n">
        <v>43137</v>
      </c>
      <c r="B1314" t="s">
        <v>174</v>
      </c>
      <c r="C1314" t="s">
        <v>93</v>
      </c>
      <c r="D1314" t="s">
        <v>22</v>
      </c>
      <c r="E1314" t="s">
        <v>15</v>
      </c>
      <c r="F1314" t="s">
        <v>28</v>
      </c>
      <c r="G1314" t="s">
        <v>673</v>
      </c>
      <c r="H1314">
        <f>HYPERLINK("https://www.jouwictvacature.nl/solliciteren?job=senior-java-developer--hibernate-jpa-spring-mvc-oracle-bij-dpa-geos-4", "Link")</f>
        <v/>
      </c>
      <c r="I1314" t="s">
        <v>17</v>
      </c>
      <c r="J1314" t="s">
        <v>18</v>
      </c>
      <c r="K1314" t="s">
        <v>179</v>
      </c>
      <c r="L1314" t="s">
        <v>1890</v>
      </c>
    </row>
    <row r="1315" spans="1:12">
      <c r="A1315" s="4" t="n">
        <v>43137</v>
      </c>
      <c r="B1315" t="s">
        <v>1724</v>
      </c>
      <c r="C1315" t="s">
        <v>1725</v>
      </c>
      <c r="D1315" t="s">
        <v>245</v>
      </c>
      <c r="E1315" t="s">
        <v>51</v>
      </c>
      <c r="F1315" t="s">
        <v>16</v>
      </c>
      <c r="G1315" t="s">
        <v>1891</v>
      </c>
      <c r="H1315">
        <f>HYPERLINK("https://www.jouwictvacature.nl/solliciteren?job=experienced-rend-software-developer-at-usoft-bij-usoft", "Link")</f>
        <v/>
      </c>
      <c r="I1315" t="s">
        <v>17</v>
      </c>
      <c r="J1315" t="s">
        <v>18</v>
      </c>
      <c r="K1315" t="s">
        <v>1892</v>
      </c>
      <c r="L1315" t="s">
        <v>1893</v>
      </c>
    </row>
    <row r="1316" spans="1:12">
      <c r="A1316" s="4" t="n">
        <v>43137</v>
      </c>
      <c r="B1316" t="s">
        <v>1399</v>
      </c>
      <c r="C1316" t="s">
        <v>309</v>
      </c>
      <c r="D1316" t="s">
        <v>245</v>
      </c>
      <c r="E1316" t="s">
        <v>51</v>
      </c>
      <c r="F1316" t="s">
        <v>28</v>
      </c>
      <c r="G1316" t="s">
        <v>1894</v>
      </c>
      <c r="H1316">
        <f>HYPERLINK("https://www.jouwictvacature.nl/solliciteren?job=senior-java-developer--spring-hibernate-maven-jboss-en-websphere-bij-m", "Link")</f>
        <v/>
      </c>
      <c r="I1316" t="s">
        <v>17</v>
      </c>
      <c r="J1316" t="s">
        <v>18</v>
      </c>
      <c r="K1316" t="s">
        <v>1401</v>
      </c>
      <c r="L1316" t="s">
        <v>1895</v>
      </c>
    </row>
    <row hidden="1" r="1317" s="1" spans="1:12">
      <c r="A1317" s="4" t="n">
        <v>43137</v>
      </c>
      <c r="B1317" t="s">
        <v>1377</v>
      </c>
      <c r="C1317" t="s">
        <v>1378</v>
      </c>
      <c r="D1317" t="s">
        <v>22</v>
      </c>
      <c r="E1317" t="s">
        <v>15</v>
      </c>
      <c r="F1317" t="s">
        <v>52</v>
      </c>
      <c r="G1317" t="s">
        <v>1831</v>
      </c>
      <c r="H1317">
        <f>HYPERLINK("https://www.jouwictvacature.nl/solliciteren?job=medior-java-developer-bij-gappless-te-halfweg-bij-gappless", "Link")</f>
        <v/>
      </c>
      <c r="I1317" t="s">
        <v>17</v>
      </c>
      <c r="J1317" t="s">
        <v>18</v>
      </c>
      <c r="K1317" t="s">
        <v>1810</v>
      </c>
      <c r="L1317" t="s">
        <v>1832</v>
      </c>
    </row>
    <row hidden="1" r="1318" s="1" spans="1:12">
      <c r="A1318" s="4" t="n">
        <v>43137</v>
      </c>
      <c r="B1318" t="s">
        <v>174</v>
      </c>
      <c r="C1318" t="s">
        <v>38</v>
      </c>
      <c r="D1318" t="s">
        <v>22</v>
      </c>
      <c r="E1318" t="s">
        <v>15</v>
      </c>
      <c r="F1318" t="s">
        <v>28</v>
      </c>
      <c r="G1318" t="s">
        <v>181</v>
      </c>
      <c r="H1318">
        <f>HYPERLINK("https://www.jouwictvacature.nl/solliciteren?job=senior-java-developer-bij-dpa-geos-bij-dpa-geos-3", "Link")</f>
        <v/>
      </c>
      <c r="I1318" t="s">
        <v>17</v>
      </c>
      <c r="J1318" t="s">
        <v>18</v>
      </c>
      <c r="K1318" t="s">
        <v>176</v>
      </c>
      <c r="L1318" t="s">
        <v>1896</v>
      </c>
    </row>
    <row hidden="1" r="1319" s="1" spans="1:12">
      <c r="A1319" s="4" t="n">
        <v>43137</v>
      </c>
      <c r="B1319" t="s">
        <v>71</v>
      </c>
      <c r="C1319" t="s">
        <v>80</v>
      </c>
      <c r="D1319" t="s">
        <v>22</v>
      </c>
      <c r="E1319" t="s">
        <v>15</v>
      </c>
      <c r="F1319" t="s">
        <v>28</v>
      </c>
      <c r="G1319" t="s">
        <v>1897</v>
      </c>
      <c r="H1319">
        <f>HYPERLINK("https://www.jouwictvacature.nl/solliciteren?job=senior-testanalist-bij-bartosz-bij-bartosz-amsterdam", "Link")</f>
        <v/>
      </c>
      <c r="I1319" t="s">
        <v>17</v>
      </c>
      <c r="J1319" t="s">
        <v>18</v>
      </c>
      <c r="K1319" t="s">
        <v>95</v>
      </c>
      <c r="L1319" t="s">
        <v>1898</v>
      </c>
    </row>
    <row hidden="1" r="1320" s="1" spans="1:12">
      <c r="A1320" s="4" t="n">
        <v>43137</v>
      </c>
      <c r="B1320" t="s">
        <v>553</v>
      </c>
      <c r="C1320" t="s">
        <v>554</v>
      </c>
      <c r="D1320" t="s">
        <v>245</v>
      </c>
      <c r="E1320" t="s">
        <v>15</v>
      </c>
      <c r="F1320" t="s">
        <v>16</v>
      </c>
      <c r="G1320" t="s">
        <v>553</v>
      </c>
      <c r="H1320">
        <f>HYPERLINK("https://www.jouwictvacature.nl/solliciteren?job=senior-web-architect-bij-ultraware", "Link")</f>
        <v/>
      </c>
      <c r="I1320" t="s">
        <v>17</v>
      </c>
      <c r="J1320" t="s">
        <v>18</v>
      </c>
      <c r="K1320" t="s">
        <v>555</v>
      </c>
      <c r="L1320" t="s">
        <v>556</v>
      </c>
    </row>
    <row hidden="1" r="1321" s="1" spans="1:12">
      <c r="A1321" s="4" t="n">
        <v>43137</v>
      </c>
      <c r="B1321" t="s">
        <v>237</v>
      </c>
      <c r="C1321" t="s">
        <v>93</v>
      </c>
      <c r="D1321" t="s">
        <v>22</v>
      </c>
      <c r="E1321" t="s">
        <v>15</v>
      </c>
      <c r="F1321" t="s">
        <v>34</v>
      </c>
      <c r="G1321" t="s">
        <v>1722</v>
      </c>
      <c r="H1321">
        <f>HYPERLINK("https://www.jouwictvacature.nl/solliciteren?job=junior-integratie-specialist--mulesoft-oracle-soa-suite-wso2-websphere-2", "Link")</f>
        <v/>
      </c>
      <c r="I1321" t="s">
        <v>17</v>
      </c>
      <c r="J1321" t="s">
        <v>18</v>
      </c>
      <c r="K1321" t="s">
        <v>1541</v>
      </c>
      <c r="L1321" t="s">
        <v>1723</v>
      </c>
    </row>
    <row hidden="1" r="1322" s="1" spans="1:12">
      <c r="A1322" s="4" t="n">
        <v>43137</v>
      </c>
      <c r="B1322" t="s">
        <v>174</v>
      </c>
      <c r="C1322" t="s">
        <v>62</v>
      </c>
      <c r="D1322" t="s">
        <v>22</v>
      </c>
      <c r="E1322" t="s">
        <v>15</v>
      </c>
      <c r="F1322" t="s">
        <v>28</v>
      </c>
      <c r="G1322" t="s">
        <v>185</v>
      </c>
      <c r="H1322">
        <f>HYPERLINK("https://www.jouwictvacature.nl/solliciteren?job=senior-java-full-stack-developer-bij-dpa-geos-bij-dpa", "Link")</f>
        <v/>
      </c>
      <c r="I1322" t="s">
        <v>17</v>
      </c>
      <c r="J1322" t="s">
        <v>18</v>
      </c>
      <c r="K1322" t="s">
        <v>176</v>
      </c>
      <c r="L1322" t="s">
        <v>186</v>
      </c>
    </row>
    <row hidden="1" r="1323" s="1" spans="1:12">
      <c r="A1323" s="4" t="n">
        <v>43137</v>
      </c>
      <c r="B1323" t="s">
        <v>257</v>
      </c>
      <c r="C1323" t="s">
        <v>13</v>
      </c>
      <c r="D1323" t="s">
        <v>14</v>
      </c>
      <c r="E1323" t="s">
        <v>15</v>
      </c>
      <c r="F1323" t="s">
        <v>28</v>
      </c>
      <c r="G1323" t="s">
        <v>1899</v>
      </c>
      <c r="H1323">
        <f>HYPERLINK("https://www.jouwictvacature.nl/solliciteren?job=senior-4-jaar-developer-bij-infent--auto-van-de-zaak", "Link")</f>
        <v/>
      </c>
      <c r="I1323" t="s">
        <v>17</v>
      </c>
      <c r="J1323" t="s">
        <v>18</v>
      </c>
      <c r="K1323" t="s">
        <v>259</v>
      </c>
      <c r="L1323" t="s">
        <v>1900</v>
      </c>
    </row>
    <row hidden="1" r="1324" s="1" spans="1:12">
      <c r="A1324" s="4" t="n">
        <v>43137</v>
      </c>
      <c r="B1324" t="s">
        <v>701</v>
      </c>
      <c r="C1324" t="s">
        <v>702</v>
      </c>
      <c r="D1324" t="s">
        <v>22</v>
      </c>
      <c r="E1324" t="s">
        <v>15</v>
      </c>
      <c r="F1324" t="s">
        <v>34</v>
      </c>
      <c r="G1324" t="s">
        <v>703</v>
      </c>
      <c r="H1324">
        <f>HYPERLINK("https://www.jouwictvacature.nl/solliciteren?job=junior-cnet-developer-bij-bookerz", "Link")</f>
        <v/>
      </c>
      <c r="I1324" t="s">
        <v>17</v>
      </c>
      <c r="J1324" t="s">
        <v>18</v>
      </c>
      <c r="K1324" t="s">
        <v>704</v>
      </c>
      <c r="L1324" t="s">
        <v>705</v>
      </c>
    </row>
    <row hidden="1" r="1325" s="1" spans="1:12">
      <c r="A1325" s="4" t="n">
        <v>43137</v>
      </c>
      <c r="B1325" t="s">
        <v>49</v>
      </c>
      <c r="C1325" t="s">
        <v>50</v>
      </c>
      <c r="D1325" t="s">
        <v>22</v>
      </c>
      <c r="E1325" t="s">
        <v>15</v>
      </c>
      <c r="F1325" t="s">
        <v>52</v>
      </c>
      <c r="G1325" t="s">
        <v>318</v>
      </c>
      <c r="H1325">
        <f>HYPERLINK("https://www.jouwictvacature.nl/solliciteren?job=medior-front-end-developer-", "Link")</f>
        <v/>
      </c>
      <c r="I1325" t="s">
        <v>17</v>
      </c>
      <c r="J1325" t="s">
        <v>18</v>
      </c>
      <c r="K1325" t="s">
        <v>1249</v>
      </c>
      <c r="L1325" t="s">
        <v>1773</v>
      </c>
    </row>
    <row hidden="1" r="1326" s="1" spans="1:12">
      <c r="A1326" s="4" t="n">
        <v>43137</v>
      </c>
      <c r="B1326" t="s">
        <v>785</v>
      </c>
      <c r="C1326" t="s">
        <v>522</v>
      </c>
      <c r="D1326" t="s">
        <v>22</v>
      </c>
      <c r="E1326" t="s">
        <v>15</v>
      </c>
      <c r="F1326" t="s">
        <v>16</v>
      </c>
      <c r="G1326" t="s">
        <v>785</v>
      </c>
      <c r="H1326">
        <f>HYPERLINK("https://www.jouwictvacature.nl/solliciteren?job=software-engineer-4", "Link")</f>
        <v/>
      </c>
      <c r="I1326" t="s">
        <v>17</v>
      </c>
      <c r="J1326" t="s">
        <v>18</v>
      </c>
      <c r="K1326" t="s">
        <v>1662</v>
      </c>
      <c r="L1326" t="s">
        <v>1663</v>
      </c>
    </row>
    <row hidden="1" r="1327" s="1" spans="1:12">
      <c r="A1327" s="4" t="n">
        <v>43137</v>
      </c>
      <c r="B1327" t="s">
        <v>455</v>
      </c>
      <c r="C1327" t="s">
        <v>45</v>
      </c>
      <c r="D1327" t="s">
        <v>245</v>
      </c>
      <c r="E1327" t="s">
        <v>15</v>
      </c>
      <c r="F1327" t="s">
        <v>16</v>
      </c>
      <c r="G1327" t="s">
        <v>1901</v>
      </c>
      <c r="H1327">
        <f>HYPERLINK("https://www.jouwictvacature.nl/solliciteren?job=net-lead-engineer-bij-sogeti-3", "Link")</f>
        <v/>
      </c>
      <c r="I1327" t="s">
        <v>17</v>
      </c>
      <c r="J1327" t="s">
        <v>18</v>
      </c>
      <c r="K1327" t="s">
        <v>466</v>
      </c>
      <c r="L1327" t="s">
        <v>1902</v>
      </c>
    </row>
    <row hidden="1" r="1328" s="1" spans="1:12">
      <c r="A1328" s="4" t="n">
        <v>43137</v>
      </c>
      <c r="B1328" t="s">
        <v>455</v>
      </c>
      <c r="C1328" t="s">
        <v>309</v>
      </c>
      <c r="D1328" t="s">
        <v>245</v>
      </c>
      <c r="E1328" t="s">
        <v>15</v>
      </c>
      <c r="F1328" t="s">
        <v>52</v>
      </c>
      <c r="G1328" t="s">
        <v>854</v>
      </c>
      <c r="H1328">
        <f>HYPERLINK("https://www.jouwictvacature.nl/solliciteren?job=net-engineer-bij-sogeti-3", "Link")</f>
        <v/>
      </c>
      <c r="I1328" t="s">
        <v>17</v>
      </c>
      <c r="J1328" t="s">
        <v>18</v>
      </c>
      <c r="K1328" t="s">
        <v>466</v>
      </c>
      <c r="L1328" t="s">
        <v>855</v>
      </c>
    </row>
    <row hidden="1" r="1329" s="1" spans="1:12">
      <c r="A1329" s="4" t="n">
        <v>43137</v>
      </c>
      <c r="B1329" t="s">
        <v>37</v>
      </c>
      <c r="C1329" t="s">
        <v>38</v>
      </c>
      <c r="D1329" t="s">
        <v>22</v>
      </c>
      <c r="E1329" t="s">
        <v>15</v>
      </c>
      <c r="F1329" t="s">
        <v>28</v>
      </c>
      <c r="G1329" t="s">
        <v>42</v>
      </c>
      <c r="H1329">
        <f>HYPERLINK("https://www.jouwictvacature.nl/solliciteren?job=senior-web-developer-bij-advitrae", "Link")</f>
        <v/>
      </c>
      <c r="I1329" t="s">
        <v>17</v>
      </c>
      <c r="J1329" t="s">
        <v>18</v>
      </c>
      <c r="K1329" t="s">
        <v>40</v>
      </c>
      <c r="L1329" t="s">
        <v>43</v>
      </c>
    </row>
    <row hidden="1" r="1330" s="1" spans="1:12">
      <c r="A1330" s="4" t="n">
        <v>43137</v>
      </c>
      <c r="B1330" t="s">
        <v>132</v>
      </c>
      <c r="C1330" t="s">
        <v>93</v>
      </c>
      <c r="D1330" t="s">
        <v>22</v>
      </c>
      <c r="E1330" t="s">
        <v>15</v>
      </c>
      <c r="F1330" t="s">
        <v>28</v>
      </c>
      <c r="G1330" t="s">
        <v>133</v>
      </c>
      <c r="H1330">
        <f>HYPERLINK("https://www.jouwictvacature.nl/solliciteren?job=senior-net-developer-bij-ce-fintech-bv-", "Link")</f>
        <v/>
      </c>
      <c r="I1330" t="s">
        <v>17</v>
      </c>
      <c r="J1330" t="s">
        <v>18</v>
      </c>
      <c r="K1330" t="s">
        <v>134</v>
      </c>
      <c r="L1330" t="s">
        <v>135</v>
      </c>
    </row>
    <row hidden="1" r="1331" s="1" spans="1:12">
      <c r="A1331" s="4" t="n">
        <v>43137</v>
      </c>
      <c r="B1331" t="s">
        <v>985</v>
      </c>
      <c r="C1331" t="s">
        <v>986</v>
      </c>
      <c r="D1331" t="s">
        <v>245</v>
      </c>
      <c r="E1331" t="s">
        <v>15</v>
      </c>
      <c r="F1331" t="s">
        <v>52</v>
      </c>
      <c r="G1331" t="s">
        <v>1903</v>
      </c>
      <c r="H1331">
        <f>HYPERLINK("https://www.jouwictvacature.nl/solliciteren?job=medior-net-developer-bij-utilize-inhouse--mogelijkheid-voor-32-of-36-u", "Link")</f>
        <v/>
      </c>
      <c r="I1331" t="s">
        <v>17</v>
      </c>
      <c r="J1331" t="s">
        <v>18</v>
      </c>
      <c r="K1331" t="s">
        <v>988</v>
      </c>
      <c r="L1331" t="s">
        <v>1904</v>
      </c>
    </row>
    <row r="1332" spans="1:12">
      <c r="A1332" s="4" t="n">
        <v>43137</v>
      </c>
      <c r="B1332" t="s">
        <v>49</v>
      </c>
      <c r="C1332" t="s">
        <v>50</v>
      </c>
      <c r="D1332" t="s">
        <v>22</v>
      </c>
      <c r="E1332" t="s">
        <v>51</v>
      </c>
      <c r="F1332" t="s">
        <v>28</v>
      </c>
      <c r="G1332" t="s">
        <v>56</v>
      </c>
      <c r="H1332">
        <f>HYPERLINK("https://www.jouwictvacature.nl/solliciteren?job=senior-front-end-angular2-developer-bij-asamco-bv", "Link")</f>
        <v/>
      </c>
      <c r="I1332" t="s">
        <v>17</v>
      </c>
      <c r="J1332" t="s">
        <v>18</v>
      </c>
      <c r="K1332" t="s">
        <v>54</v>
      </c>
      <c r="L1332" t="s">
        <v>57</v>
      </c>
    </row>
    <row hidden="1" r="1333" s="1" spans="1:12">
      <c r="A1333" s="4" t="n">
        <v>43137</v>
      </c>
      <c r="B1333" t="s">
        <v>493</v>
      </c>
      <c r="C1333" t="s">
        <v>72</v>
      </c>
      <c r="D1333" t="s">
        <v>245</v>
      </c>
      <c r="E1333" t="s">
        <v>15</v>
      </c>
      <c r="F1333" t="s">
        <v>52</v>
      </c>
      <c r="G1333" t="s">
        <v>715</v>
      </c>
      <c r="H1333">
        <f>HYPERLINK("https://www.jouwictvacature.nl/solliciteren?job=medior-full-stack-developer-bij-sumedia", "Link")</f>
        <v/>
      </c>
      <c r="I1333" t="s">
        <v>17</v>
      </c>
      <c r="J1333" t="s">
        <v>18</v>
      </c>
      <c r="K1333" t="s">
        <v>495</v>
      </c>
      <c r="L1333" t="s">
        <v>716</v>
      </c>
    </row>
    <row hidden="1" r="1334" s="1" spans="1:12">
      <c r="A1334" s="4" t="n">
        <v>43137</v>
      </c>
      <c r="B1334" t="s">
        <v>230</v>
      </c>
      <c r="C1334" t="s">
        <v>93</v>
      </c>
      <c r="D1334" t="s">
        <v>22</v>
      </c>
      <c r="E1334" t="s">
        <v>15</v>
      </c>
      <c r="F1334" t="s">
        <v>34</v>
      </c>
      <c r="G1334" t="s">
        <v>717</v>
      </c>
      <c r="H1334">
        <f>HYPERLINK("https://www.jouwictvacature.nl/solliciteren?job=junior-php-programmeur-bij-hvmp-marketing--ernesto-", "Link")</f>
        <v/>
      </c>
      <c r="I1334" t="s">
        <v>17</v>
      </c>
      <c r="J1334" t="s">
        <v>18</v>
      </c>
      <c r="K1334" t="s">
        <v>235</v>
      </c>
      <c r="L1334" t="s">
        <v>718</v>
      </c>
    </row>
    <row hidden="1" r="1335" s="1" spans="1:12">
      <c r="A1335" s="4" t="n">
        <v>43137</v>
      </c>
      <c r="B1335" t="s">
        <v>881</v>
      </c>
      <c r="C1335" t="s">
        <v>428</v>
      </c>
      <c r="D1335" t="s">
        <v>22</v>
      </c>
      <c r="E1335" t="s">
        <v>15</v>
      </c>
      <c r="F1335" t="s">
        <v>28</v>
      </c>
      <c r="G1335" t="s">
        <v>882</v>
      </c>
      <c r="H1335">
        <f>HYPERLINK("https://www.jouwictvacature.nl/solliciteren?job=senior-laravel-php-developer-bij-cepo", "Link")</f>
        <v/>
      </c>
      <c r="I1335" t="s">
        <v>17</v>
      </c>
      <c r="J1335" t="s">
        <v>18</v>
      </c>
      <c r="K1335" t="s">
        <v>883</v>
      </c>
      <c r="L1335" t="s">
        <v>884</v>
      </c>
    </row>
    <row hidden="1" r="1336" s="1" spans="1:12">
      <c r="A1336" s="4" t="n">
        <v>43137</v>
      </c>
      <c r="B1336" t="s">
        <v>358</v>
      </c>
      <c r="C1336" t="s">
        <v>359</v>
      </c>
      <c r="D1336" t="s">
        <v>14</v>
      </c>
      <c r="E1336" t="s">
        <v>15</v>
      </c>
      <c r="F1336" t="s">
        <v>52</v>
      </c>
      <c r="G1336" t="s">
        <v>711</v>
      </c>
      <c r="H1336">
        <f>HYPERLINK("https://www.jouwictvacature.nl/solliciteren?job=medior-php-developer-bij-nobears", "Link")</f>
        <v/>
      </c>
      <c r="I1336" t="s">
        <v>17</v>
      </c>
      <c r="J1336" t="s">
        <v>18</v>
      </c>
      <c r="K1336" t="s">
        <v>361</v>
      </c>
      <c r="L1336" t="s">
        <v>712</v>
      </c>
    </row>
    <row hidden="1" r="1337" s="1" spans="1:12">
      <c r="A1337" s="4" t="n">
        <v>43137</v>
      </c>
      <c r="B1337" t="s">
        <v>590</v>
      </c>
      <c r="C1337" t="s">
        <v>591</v>
      </c>
      <c r="D1337" t="s">
        <v>245</v>
      </c>
      <c r="E1337" t="s">
        <v>15</v>
      </c>
      <c r="F1337" t="s">
        <v>34</v>
      </c>
      <c r="G1337" t="s">
        <v>551</v>
      </c>
      <c r="H1337">
        <f>HYPERLINK("https://www.jouwictvacature.nl/solliciteren?job=junior-front-end-developer-bij-yourzine", "Link")</f>
        <v/>
      </c>
      <c r="I1337" t="s">
        <v>17</v>
      </c>
      <c r="J1337" t="s">
        <v>18</v>
      </c>
      <c r="K1337" t="s">
        <v>592</v>
      </c>
      <c r="L1337" t="s">
        <v>593</v>
      </c>
    </row>
    <row hidden="1" r="1338" s="1" spans="1:12">
      <c r="A1338" s="4" t="n">
        <v>43137</v>
      </c>
      <c r="B1338" t="s">
        <v>885</v>
      </c>
      <c r="C1338" t="s">
        <v>76</v>
      </c>
      <c r="D1338" t="s">
        <v>14</v>
      </c>
      <c r="E1338" t="s">
        <v>15</v>
      </c>
      <c r="F1338" t="s">
        <v>16</v>
      </c>
      <c r="G1338" t="s">
        <v>1482</v>
      </c>
      <c r="H1338">
        <f>HYPERLINK("https://www.jouwictvacature.nl/solliciteren?job=gedreven-medior-backend-developer-3", "Link")</f>
        <v/>
      </c>
      <c r="I1338" t="s">
        <v>17</v>
      </c>
      <c r="J1338" t="s">
        <v>18</v>
      </c>
      <c r="K1338" t="s">
        <v>887</v>
      </c>
      <c r="L1338" t="s">
        <v>1483</v>
      </c>
    </row>
    <row hidden="1" r="1339" s="1" spans="1:12">
      <c r="A1339" s="4" t="n">
        <v>43137</v>
      </c>
      <c r="B1339" t="s">
        <v>1026</v>
      </c>
      <c r="C1339" t="s">
        <v>1027</v>
      </c>
      <c r="D1339" t="s">
        <v>245</v>
      </c>
      <c r="E1339" t="s">
        <v>15</v>
      </c>
      <c r="F1339" t="s">
        <v>16</v>
      </c>
      <c r="G1339" t="s">
        <v>1028</v>
      </c>
      <c r="H1339">
        <f>HYPERLINK("https://www.jouwictvacature.nl/solliciteren?job=mediorphp-developer-bij-xl-shop-group-", "Link")</f>
        <v/>
      </c>
      <c r="I1339" t="s">
        <v>17</v>
      </c>
      <c r="J1339" t="s">
        <v>18</v>
      </c>
      <c r="K1339" t="s">
        <v>1029</v>
      </c>
      <c r="L1339" t="s">
        <v>1030</v>
      </c>
    </row>
    <row hidden="1" r="1340" s="1" spans="1:12">
      <c r="A1340" s="4" t="n">
        <v>43137</v>
      </c>
      <c r="B1340" t="s">
        <v>1731</v>
      </c>
      <c r="C1340" t="s">
        <v>93</v>
      </c>
      <c r="D1340" t="s">
        <v>245</v>
      </c>
      <c r="E1340" t="s">
        <v>15</v>
      </c>
      <c r="F1340" t="s">
        <v>28</v>
      </c>
      <c r="G1340" t="s">
        <v>1792</v>
      </c>
      <c r="H1340">
        <f>HYPERLINK("https://www.jouwictvacature.nl/solliciteren?job=senior-drupal-developer", "Link")</f>
        <v/>
      </c>
      <c r="I1340" t="s">
        <v>17</v>
      </c>
      <c r="J1340" t="s">
        <v>18</v>
      </c>
      <c r="K1340" t="s">
        <v>1733</v>
      </c>
      <c r="L1340" t="s">
        <v>1793</v>
      </c>
    </row>
    <row hidden="1" r="1341" s="1" spans="1:12">
      <c r="A1341" s="4" t="n">
        <v>43137</v>
      </c>
      <c r="B1341" t="s">
        <v>585</v>
      </c>
      <c r="C1341" t="s">
        <v>586</v>
      </c>
      <c r="D1341" t="s">
        <v>245</v>
      </c>
      <c r="E1341" t="s">
        <v>15</v>
      </c>
      <c r="F1341" t="s">
        <v>16</v>
      </c>
      <c r="G1341" t="s">
        <v>1750</v>
      </c>
      <c r="H1341">
        <f>HYPERLINK("https://www.jouwictvacature.nl/solliciteren?job=senior-php-webontwikkelaar-met-kennis-van-laravel", "Link")</f>
        <v/>
      </c>
      <c r="I1341" t="s">
        <v>17</v>
      </c>
      <c r="J1341" t="s">
        <v>18</v>
      </c>
      <c r="K1341" t="s">
        <v>1751</v>
      </c>
      <c r="L1341" t="s">
        <v>1752</v>
      </c>
    </row>
    <row hidden="1" r="1342" s="1" spans="1:12">
      <c r="A1342" s="4" t="n">
        <v>43137</v>
      </c>
      <c r="B1342" t="s">
        <v>493</v>
      </c>
      <c r="C1342" t="s">
        <v>72</v>
      </c>
      <c r="D1342" t="s">
        <v>245</v>
      </c>
      <c r="E1342" t="s">
        <v>15</v>
      </c>
      <c r="F1342" t="s">
        <v>16</v>
      </c>
      <c r="G1342" t="s">
        <v>1799</v>
      </c>
      <c r="H1342">
        <f>HYPERLINK("https://www.jouwictvacature.nl/solliciteren?job=backend-koning-gezocht-regio-arnhem-php", "Link")</f>
        <v/>
      </c>
      <c r="I1342" t="s">
        <v>17</v>
      </c>
      <c r="J1342" t="s">
        <v>18</v>
      </c>
      <c r="K1342" t="s">
        <v>495</v>
      </c>
      <c r="L1342" t="s">
        <v>1800</v>
      </c>
    </row>
    <row hidden="1" r="1343" s="1" spans="1:12">
      <c r="A1343" s="4" t="n">
        <v>43137</v>
      </c>
      <c r="B1343" t="s">
        <v>423</v>
      </c>
      <c r="C1343" t="s">
        <v>406</v>
      </c>
      <c r="D1343" t="s">
        <v>245</v>
      </c>
      <c r="E1343" t="s">
        <v>15</v>
      </c>
      <c r="F1343" t="s">
        <v>34</v>
      </c>
      <c r="G1343" t="s">
        <v>1905</v>
      </c>
      <c r="H1343">
        <f>HYPERLINK("https://www.jouwictvacature.nl/solliciteren?job=junior-front-endjavascript-developer-bij-qualogy", "Link")</f>
        <v/>
      </c>
      <c r="I1343" t="s">
        <v>17</v>
      </c>
      <c r="J1343" t="s">
        <v>18</v>
      </c>
      <c r="K1343" t="s">
        <v>425</v>
      </c>
      <c r="L1343" t="s">
        <v>1906</v>
      </c>
    </row>
    <row hidden="1" r="1344" s="1" spans="1:12">
      <c r="A1344" s="4" t="n">
        <v>43137</v>
      </c>
      <c r="B1344" t="s">
        <v>136</v>
      </c>
      <c r="C1344" t="s">
        <v>137</v>
      </c>
      <c r="D1344" t="s">
        <v>22</v>
      </c>
      <c r="E1344" t="s">
        <v>15</v>
      </c>
      <c r="F1344" t="s">
        <v>16</v>
      </c>
      <c r="G1344" t="s">
        <v>138</v>
      </c>
      <c r="H1344">
        <f>HYPERLINK("https://www.jouwictvacature.nl/solliciteren?job=java-software-developer-bij-cgi", "Link")</f>
        <v/>
      </c>
      <c r="I1344" t="s">
        <v>17</v>
      </c>
      <c r="J1344" t="s">
        <v>18</v>
      </c>
      <c r="K1344" t="s">
        <v>139</v>
      </c>
      <c r="L1344" t="s">
        <v>140</v>
      </c>
    </row>
    <row hidden="1" r="1345" s="1" spans="1:12">
      <c r="A1345" s="4" t="n">
        <v>43137</v>
      </c>
      <c r="B1345" t="s">
        <v>374</v>
      </c>
      <c r="C1345" t="s">
        <v>93</v>
      </c>
      <c r="D1345" t="s">
        <v>14</v>
      </c>
      <c r="E1345" t="s">
        <v>15</v>
      </c>
      <c r="F1345" t="s">
        <v>34</v>
      </c>
      <c r="G1345" t="s">
        <v>1675</v>
      </c>
      <c r="H1345">
        <f>HYPERLINK("https://www.jouwictvacature.nl/solliciteren?job=junior-front-end-developer-met-reactjs-ervaring-bij-oo-shopping", "Link")</f>
        <v/>
      </c>
      <c r="I1345" t="s">
        <v>17</v>
      </c>
      <c r="J1345" t="s">
        <v>18</v>
      </c>
      <c r="K1345" t="s">
        <v>376</v>
      </c>
      <c r="L1345" t="s">
        <v>1676</v>
      </c>
    </row>
    <row hidden="1" r="1346" s="1" spans="1:12">
      <c r="A1346" s="4" t="n">
        <v>43137</v>
      </c>
      <c r="B1346" t="s">
        <v>574</v>
      </c>
      <c r="C1346" t="s">
        <v>575</v>
      </c>
      <c r="D1346" t="s">
        <v>245</v>
      </c>
      <c r="E1346" t="s">
        <v>15</v>
      </c>
      <c r="F1346" t="s">
        <v>52</v>
      </c>
      <c r="G1346" t="s">
        <v>1907</v>
      </c>
      <c r="H1346">
        <f>HYPERLINK("https://www.jouwictvacature.nl/solliciteren?job=front-end-developer-breed-inzetbare-codeklopper-36-40uur-2", "Link")</f>
        <v/>
      </c>
      <c r="I1346" t="s">
        <v>17</v>
      </c>
      <c r="J1346" t="s">
        <v>18</v>
      </c>
      <c r="K1346" t="s">
        <v>1885</v>
      </c>
      <c r="L1346" t="s">
        <v>1908</v>
      </c>
    </row>
    <row hidden="1" r="1347" s="1" spans="1:12">
      <c r="A1347" s="4" t="n">
        <v>43137</v>
      </c>
      <c r="B1347" t="s">
        <v>668</v>
      </c>
      <c r="C1347" t="s">
        <v>522</v>
      </c>
      <c r="D1347" t="s">
        <v>22</v>
      </c>
      <c r="E1347" t="s">
        <v>15</v>
      </c>
      <c r="F1347" t="s">
        <v>16</v>
      </c>
      <c r="G1347" t="s">
        <v>668</v>
      </c>
      <c r="H1347">
        <f>HYPERLINK("https://www.jouwictvacature.nl/solliciteren?job=senior-front-end-developer-bij-bizzdesign-bij-bizzdesign", "Link")</f>
        <v/>
      </c>
      <c r="I1347" t="s">
        <v>17</v>
      </c>
      <c r="J1347" t="s">
        <v>18</v>
      </c>
      <c r="K1347" t="s">
        <v>669</v>
      </c>
      <c r="L1347" t="s">
        <v>1531</v>
      </c>
    </row>
    <row hidden="1" r="1348" s="1" spans="1:12">
      <c r="A1348" s="4" t="n">
        <v>43137</v>
      </c>
      <c r="B1348" t="s">
        <v>1099</v>
      </c>
      <c r="C1348" t="s">
        <v>1100</v>
      </c>
      <c r="D1348" t="s">
        <v>22</v>
      </c>
      <c r="E1348" t="s">
        <v>15</v>
      </c>
      <c r="F1348" t="s">
        <v>34</v>
      </c>
      <c r="G1348" t="s">
        <v>1909</v>
      </c>
      <c r="H1348">
        <f>HYPERLINK("https://www.jouwictvacature.nl/solliciteren?job=junior-front-end-software-developer-", "Link")</f>
        <v/>
      </c>
      <c r="I1348" t="s">
        <v>17</v>
      </c>
      <c r="J1348" t="s">
        <v>18</v>
      </c>
      <c r="K1348" t="s">
        <v>1102</v>
      </c>
      <c r="L1348" t="s">
        <v>1910</v>
      </c>
    </row>
    <row hidden="1" r="1349" s="1" spans="1:12">
      <c r="A1349" s="4" t="n">
        <v>43137</v>
      </c>
      <c r="B1349" t="s">
        <v>1261</v>
      </c>
      <c r="C1349" t="s">
        <v>1262</v>
      </c>
      <c r="D1349" t="s">
        <v>22</v>
      </c>
      <c r="E1349" t="s">
        <v>15</v>
      </c>
      <c r="F1349" t="s">
        <v>28</v>
      </c>
      <c r="G1349" t="s">
        <v>1911</v>
      </c>
      <c r="H1349">
        <f>HYPERLINK("https://www.jouwictvacature.nl/solliciteren?job=senior-front-end-developer-bij-blue-carpet-bij-blue-carpet", "Link")</f>
        <v/>
      </c>
      <c r="I1349" t="s">
        <v>17</v>
      </c>
      <c r="J1349" t="s">
        <v>18</v>
      </c>
      <c r="K1349" t="s">
        <v>1264</v>
      </c>
      <c r="L1349" t="s">
        <v>1912</v>
      </c>
    </row>
    <row hidden="1" r="1350" s="1" spans="1:12">
      <c r="A1350" s="4" t="n">
        <v>43137</v>
      </c>
      <c r="B1350" t="s">
        <v>358</v>
      </c>
      <c r="C1350" t="s">
        <v>359</v>
      </c>
      <c r="D1350" t="s">
        <v>14</v>
      </c>
      <c r="E1350" t="s">
        <v>15</v>
      </c>
      <c r="F1350" t="s">
        <v>34</v>
      </c>
      <c r="G1350" t="s">
        <v>424</v>
      </c>
      <c r="H1350">
        <f>HYPERLINK("https://www.jouwictvacature.nl/solliciteren?job=junior-fullstack-developer-bij-nobears", "Link")</f>
        <v/>
      </c>
      <c r="I1350" t="s">
        <v>17</v>
      </c>
      <c r="J1350" t="s">
        <v>18</v>
      </c>
      <c r="K1350" t="s">
        <v>361</v>
      </c>
      <c r="L1350" t="s">
        <v>1913</v>
      </c>
    </row>
    <row hidden="1" r="1351" s="1" spans="1:12">
      <c r="A1351" s="4" t="n">
        <v>43137</v>
      </c>
      <c r="B1351" t="s">
        <v>958</v>
      </c>
      <c r="C1351" t="s">
        <v>959</v>
      </c>
      <c r="D1351" t="s">
        <v>245</v>
      </c>
      <c r="E1351" t="s">
        <v>15</v>
      </c>
      <c r="F1351" t="s">
        <v>16</v>
      </c>
      <c r="G1351" t="s">
        <v>958</v>
      </c>
      <c r="H1351">
        <f>HYPERLINK("https://www.jouwictvacature.nl/solliciteren?job=senior-front-end-developer-bij-codarts-hogeschool-voor-de-kunsten-bij-", "Link")</f>
        <v/>
      </c>
      <c r="I1351" t="s">
        <v>17</v>
      </c>
      <c r="J1351" t="s">
        <v>18</v>
      </c>
      <c r="K1351" t="s">
        <v>960</v>
      </c>
      <c r="L1351" t="s">
        <v>1914</v>
      </c>
    </row>
    <row hidden="1" r="1352" s="1" spans="1:12">
      <c r="A1352" s="4" t="n">
        <v>43137</v>
      </c>
      <c r="B1352" t="s">
        <v>958</v>
      </c>
      <c r="C1352" t="s">
        <v>959</v>
      </c>
      <c r="D1352" t="s">
        <v>245</v>
      </c>
      <c r="E1352" t="s">
        <v>15</v>
      </c>
      <c r="F1352" t="s">
        <v>16</v>
      </c>
      <c r="G1352" t="s">
        <v>958</v>
      </c>
      <c r="H1352">
        <f>HYPERLINK("https://www.jouwictvacature.nl/solliciteren?job=junior-front-end-developer-bij-codarts-hogeschool-voor-de-kunsten-bij-", "Link")</f>
        <v/>
      </c>
      <c r="I1352" t="s">
        <v>17</v>
      </c>
      <c r="J1352" t="s">
        <v>18</v>
      </c>
      <c r="K1352" t="s">
        <v>960</v>
      </c>
      <c r="L1352" t="s">
        <v>1595</v>
      </c>
    </row>
    <row hidden="1" r="1353" s="1" spans="1:12">
      <c r="A1353" s="4" t="n">
        <v>43137</v>
      </c>
      <c r="B1353" t="s">
        <v>71</v>
      </c>
      <c r="C1353" t="s">
        <v>62</v>
      </c>
      <c r="D1353" t="s">
        <v>22</v>
      </c>
      <c r="E1353" t="s">
        <v>15</v>
      </c>
      <c r="F1353" t="s">
        <v>34</v>
      </c>
      <c r="G1353" t="s">
        <v>97</v>
      </c>
      <c r="H1353">
        <f>HYPERLINK("https://www.jouwictvacature.nl/solliciteren?job=junior-testanalist-bij-bartosz-bij-bartosz-utrecht", "Link")</f>
        <v/>
      </c>
      <c r="I1353" t="s">
        <v>17</v>
      </c>
      <c r="J1353" t="s">
        <v>18</v>
      </c>
      <c r="K1353" t="s">
        <v>95</v>
      </c>
      <c r="L1353" t="s">
        <v>98</v>
      </c>
    </row>
    <row r="1354" spans="1:12">
      <c r="A1354" s="4" t="n">
        <v>43137</v>
      </c>
      <c r="B1354" t="s">
        <v>1399</v>
      </c>
      <c r="C1354" t="s">
        <v>309</v>
      </c>
      <c r="D1354" t="s">
        <v>22</v>
      </c>
      <c r="E1354" t="s">
        <v>51</v>
      </c>
      <c r="F1354" t="s">
        <v>52</v>
      </c>
      <c r="G1354" t="s">
        <v>1915</v>
      </c>
      <c r="H1354">
        <f>HYPERLINK("https://www.jouwictvacature.nl/solliciteren?job=medior-software-developer--jee-spring-hibernate-maven-jboss-bij-msg-li", "Link")</f>
        <v/>
      </c>
      <c r="I1354" t="s">
        <v>17</v>
      </c>
      <c r="J1354" t="s">
        <v>18</v>
      </c>
      <c r="K1354" t="s">
        <v>1780</v>
      </c>
      <c r="L1354" t="s">
        <v>1916</v>
      </c>
    </row>
    <row hidden="1" r="1355" s="1" spans="1:12">
      <c r="A1355" s="4" t="n">
        <v>43137</v>
      </c>
      <c r="B1355" t="s">
        <v>174</v>
      </c>
      <c r="C1355" t="s">
        <v>93</v>
      </c>
      <c r="D1355" t="s">
        <v>22</v>
      </c>
      <c r="E1355" t="s">
        <v>15</v>
      </c>
      <c r="F1355" t="s">
        <v>28</v>
      </c>
      <c r="G1355" t="s">
        <v>673</v>
      </c>
      <c r="H1355">
        <f>HYPERLINK("https://www.jouwictvacature.nl/solliciteren?job=senior-java-developer--hibernate-jpa-spring-mvc-oracle-bij-dpa-geos-4", "Link")</f>
        <v/>
      </c>
      <c r="I1355" t="s">
        <v>17</v>
      </c>
      <c r="J1355" t="s">
        <v>18</v>
      </c>
      <c r="K1355" t="s">
        <v>179</v>
      </c>
      <c r="L1355" t="s">
        <v>1890</v>
      </c>
    </row>
    <row hidden="1" r="1356" s="1" spans="1:12">
      <c r="A1356" s="4" t="n">
        <v>43137</v>
      </c>
      <c r="B1356" t="s">
        <v>71</v>
      </c>
      <c r="C1356" t="s">
        <v>38</v>
      </c>
      <c r="D1356" t="s">
        <v>22</v>
      </c>
      <c r="E1356" t="s">
        <v>15</v>
      </c>
      <c r="F1356" t="s">
        <v>16</v>
      </c>
      <c r="G1356" t="s">
        <v>1917</v>
      </c>
      <c r="H1356">
        <f>HYPERLINK("https://www.jouwictvacature.nl/solliciteren?job=traineeship-agile-test-engineer-bij-bartosz-bij-bartosz-eindhoven", "Link")</f>
        <v/>
      </c>
      <c r="I1356" t="s">
        <v>17</v>
      </c>
      <c r="J1356" t="s">
        <v>18</v>
      </c>
      <c r="K1356" t="s">
        <v>82</v>
      </c>
      <c r="L1356" t="s">
        <v>1918</v>
      </c>
    </row>
    <row hidden="1" r="1357" s="1" spans="1:12">
      <c r="A1357" s="4" t="n">
        <v>43137</v>
      </c>
      <c r="B1357" t="s">
        <v>833</v>
      </c>
      <c r="C1357" t="s">
        <v>834</v>
      </c>
      <c r="D1357" t="s">
        <v>22</v>
      </c>
      <c r="E1357" t="s">
        <v>15</v>
      </c>
      <c r="F1357" t="s">
        <v>34</v>
      </c>
      <c r="G1357" t="s">
        <v>519</v>
      </c>
      <c r="H1357">
        <f>HYPERLINK("https://www.jouwictvacature.nl/solliciteren?job=junior-java-developer-", "Link")</f>
        <v/>
      </c>
      <c r="I1357" t="s">
        <v>17</v>
      </c>
      <c r="J1357" t="s">
        <v>18</v>
      </c>
      <c r="K1357" t="s">
        <v>835</v>
      </c>
      <c r="L1357" t="s">
        <v>836</v>
      </c>
    </row>
    <row hidden="1" r="1358" s="1" spans="1:12">
      <c r="A1358" s="4" t="n">
        <v>43137</v>
      </c>
      <c r="B1358" t="s">
        <v>508</v>
      </c>
      <c r="C1358" t="s">
        <v>509</v>
      </c>
      <c r="D1358" t="s">
        <v>245</v>
      </c>
      <c r="E1358" t="s">
        <v>15</v>
      </c>
      <c r="F1358" t="s">
        <v>34</v>
      </c>
      <c r="G1358" t="s">
        <v>519</v>
      </c>
      <c r="H1358">
        <f>HYPERLINK("https://www.jouwictvacature.nl/solliciteren?job=junior-java-developer-bij-tenuki-bv-2", "Link")</f>
        <v/>
      </c>
      <c r="I1358" t="s">
        <v>17</v>
      </c>
      <c r="J1358" t="s">
        <v>18</v>
      </c>
      <c r="K1358" t="s">
        <v>511</v>
      </c>
      <c r="L1358" t="s">
        <v>520</v>
      </c>
    </row>
    <row r="1359" spans="1:12">
      <c r="A1359" s="4" t="n">
        <v>43137</v>
      </c>
      <c r="B1359" t="s">
        <v>1399</v>
      </c>
      <c r="C1359" t="s">
        <v>309</v>
      </c>
      <c r="D1359" t="s">
        <v>245</v>
      </c>
      <c r="E1359" t="s">
        <v>51</v>
      </c>
      <c r="F1359" t="s">
        <v>28</v>
      </c>
      <c r="G1359" t="s">
        <v>1894</v>
      </c>
      <c r="H1359">
        <f>HYPERLINK("https://www.jouwictvacature.nl/solliciteren?job=senior-java-developer--spring-hibernate-maven-jboss-en-websphere-bij-m", "Link")</f>
        <v/>
      </c>
      <c r="I1359" t="s">
        <v>17</v>
      </c>
      <c r="J1359" t="s">
        <v>18</v>
      </c>
      <c r="K1359" t="s">
        <v>1401</v>
      </c>
      <c r="L1359" t="s">
        <v>1895</v>
      </c>
    </row>
    <row hidden="1" r="1360" s="1" spans="1:12">
      <c r="A1360" s="4" t="n">
        <v>43137</v>
      </c>
      <c r="B1360" t="s">
        <v>268</v>
      </c>
      <c r="C1360" t="s">
        <v>269</v>
      </c>
      <c r="D1360" t="s">
        <v>14</v>
      </c>
      <c r="E1360" t="s">
        <v>15</v>
      </c>
      <c r="F1360" t="s">
        <v>28</v>
      </c>
      <c r="G1360" t="s">
        <v>270</v>
      </c>
      <c r="H1360">
        <f>HYPERLINK("https://www.jouwictvacature.nl/solliciteren?job=senior-java-software-developer--servoy-java-sql-saas", "Link")</f>
        <v/>
      </c>
      <c r="I1360" t="s">
        <v>17</v>
      </c>
      <c r="J1360" t="s">
        <v>18</v>
      </c>
      <c r="K1360" t="s">
        <v>271</v>
      </c>
      <c r="L1360" t="s">
        <v>272</v>
      </c>
    </row>
    <row hidden="1" r="1361" s="1" spans="1:12">
      <c r="A1361" s="4" t="n">
        <v>43137</v>
      </c>
      <c r="B1361" t="s">
        <v>678</v>
      </c>
      <c r="C1361" t="s">
        <v>679</v>
      </c>
      <c r="D1361" t="s">
        <v>22</v>
      </c>
      <c r="E1361" t="s">
        <v>15</v>
      </c>
      <c r="F1361" t="s">
        <v>28</v>
      </c>
      <c r="G1361" t="s">
        <v>680</v>
      </c>
      <c r="H1361">
        <f>HYPERLINK("https://www.jouwictvacature.nl/solliciteren?job=senior-hippocms-developer-", "Link")</f>
        <v/>
      </c>
      <c r="I1361" t="s">
        <v>17</v>
      </c>
      <c r="J1361" t="s">
        <v>18</v>
      </c>
      <c r="K1361" t="s">
        <v>681</v>
      </c>
      <c r="L1361" t="s">
        <v>682</v>
      </c>
    </row>
    <row hidden="1" r="1362" s="1" spans="1:12">
      <c r="A1362" s="4" t="n">
        <v>43137</v>
      </c>
      <c r="B1362" t="s">
        <v>164</v>
      </c>
      <c r="C1362" t="s">
        <v>80</v>
      </c>
      <c r="D1362" t="s">
        <v>22</v>
      </c>
      <c r="E1362" t="s">
        <v>15</v>
      </c>
      <c r="F1362" t="s">
        <v>28</v>
      </c>
      <c r="G1362" t="s">
        <v>1919</v>
      </c>
      <c r="H1362">
        <f>HYPERLINK("https://www.jouwictvacature.nl/solliciteren?job=senior-mobile-developer-in-amsterdam--iot-android-ios-iphone-sdk-bij-d", "Link")</f>
        <v/>
      </c>
      <c r="I1362" t="s">
        <v>17</v>
      </c>
      <c r="J1362" t="s">
        <v>18</v>
      </c>
      <c r="K1362" t="s">
        <v>1920</v>
      </c>
      <c r="L1362" t="s">
        <v>1921</v>
      </c>
    </row>
    <row hidden="1" r="1363" s="1" spans="1:12">
      <c r="A1363" s="4" t="n">
        <v>43137</v>
      </c>
      <c r="B1363" t="s">
        <v>618</v>
      </c>
      <c r="C1363" t="s">
        <v>619</v>
      </c>
      <c r="D1363" t="s">
        <v>22</v>
      </c>
      <c r="E1363" t="s">
        <v>15</v>
      </c>
      <c r="F1363" t="s">
        <v>34</v>
      </c>
      <c r="G1363" t="s">
        <v>1198</v>
      </c>
      <c r="H1363">
        <f>HYPERLINK("https://www.jouwictvacature.nl/solliciteren?job=juniormediorsenior-fullstack-developer", "Link")</f>
        <v/>
      </c>
      <c r="I1363" t="s">
        <v>17</v>
      </c>
      <c r="J1363" t="s">
        <v>18</v>
      </c>
      <c r="K1363" t="s">
        <v>621</v>
      </c>
      <c r="L1363" t="s">
        <v>1199</v>
      </c>
    </row>
    <row hidden="1" r="1364" s="1" spans="1:12">
      <c r="A1364" s="4" t="n">
        <v>43137</v>
      </c>
      <c r="B1364" t="s">
        <v>856</v>
      </c>
      <c r="C1364" t="s">
        <v>50</v>
      </c>
      <c r="D1364" t="s">
        <v>22</v>
      </c>
      <c r="E1364" t="s">
        <v>15</v>
      </c>
      <c r="F1364" t="s">
        <v>16</v>
      </c>
      <c r="G1364" t="s">
        <v>856</v>
      </c>
      <c r="H1364">
        <f>HYPERLINK("https://www.jouwictvacature.nl/solliciteren?job=docent-technische-informatica", "Link")</f>
        <v/>
      </c>
      <c r="I1364" t="s">
        <v>17</v>
      </c>
      <c r="J1364" t="s">
        <v>18</v>
      </c>
      <c r="K1364" t="s">
        <v>1922</v>
      </c>
      <c r="L1364" t="s">
        <v>1923</v>
      </c>
    </row>
    <row hidden="1" r="1365" s="1" spans="1:12">
      <c r="A1365" s="4" t="n">
        <v>43137</v>
      </c>
      <c r="B1365" t="s">
        <v>382</v>
      </c>
      <c r="C1365" t="s">
        <v>274</v>
      </c>
      <c r="D1365" t="s">
        <v>14</v>
      </c>
      <c r="E1365" t="s">
        <v>15</v>
      </c>
      <c r="F1365" t="s">
        <v>16</v>
      </c>
      <c r="G1365" t="s">
        <v>382</v>
      </c>
      <c r="H1365">
        <f>HYPERLINK("https://www.jouwictvacature.nl/solliciteren?job=junior-software-engineer-bij-ortec", "Link")</f>
        <v/>
      </c>
      <c r="I1365" t="s">
        <v>17</v>
      </c>
      <c r="J1365" t="s">
        <v>18</v>
      </c>
      <c r="K1365" t="s">
        <v>1618</v>
      </c>
      <c r="L1365" t="s">
        <v>1619</v>
      </c>
    </row>
    <row hidden="1" r="1366" s="1" spans="1:12">
      <c r="A1366" s="4" t="n">
        <v>43137</v>
      </c>
      <c r="B1366" t="s">
        <v>1000</v>
      </c>
      <c r="C1366" t="s">
        <v>1001</v>
      </c>
      <c r="D1366" t="s">
        <v>22</v>
      </c>
      <c r="E1366" t="s">
        <v>15</v>
      </c>
      <c r="F1366" t="s">
        <v>16</v>
      </c>
      <c r="G1366" t="s">
        <v>1000</v>
      </c>
      <c r="H1366">
        <f>HYPERLINK("https://www.jouwictvacature.nl/solliciteren?job=backend-software-developer-bij-bwaste-international-bv-in-eefde", "Link")</f>
        <v/>
      </c>
      <c r="I1366" t="s">
        <v>17</v>
      </c>
      <c r="J1366" t="s">
        <v>18</v>
      </c>
      <c r="K1366" t="s">
        <v>1002</v>
      </c>
      <c r="L1366" t="s">
        <v>1003</v>
      </c>
    </row>
    <row r="1367" spans="1:12">
      <c r="A1367" s="4" t="n">
        <v>43137</v>
      </c>
      <c r="B1367" t="s">
        <v>49</v>
      </c>
      <c r="C1367" t="s">
        <v>50</v>
      </c>
      <c r="D1367" t="s">
        <v>22</v>
      </c>
      <c r="E1367" t="s">
        <v>51</v>
      </c>
      <c r="F1367" t="s">
        <v>28</v>
      </c>
      <c r="G1367" t="s">
        <v>56</v>
      </c>
      <c r="H1367">
        <f>HYPERLINK("https://www.jouwictvacature.nl/solliciteren?job=senior-front-end-angular2-developer-bij-asamco-bv", "Link")</f>
        <v/>
      </c>
      <c r="I1367" t="s">
        <v>17</v>
      </c>
      <c r="J1367" t="s">
        <v>18</v>
      </c>
      <c r="K1367" t="s">
        <v>54</v>
      </c>
      <c r="L1367" t="s">
        <v>57</v>
      </c>
    </row>
    <row hidden="1" r="1368" s="1" spans="1:12">
      <c r="A1368" s="4" t="n">
        <v>43137</v>
      </c>
      <c r="B1368" t="s">
        <v>109</v>
      </c>
      <c r="C1368" t="s">
        <v>112</v>
      </c>
      <c r="D1368" t="s">
        <v>22</v>
      </c>
      <c r="E1368" t="s">
        <v>15</v>
      </c>
      <c r="F1368" t="s">
        <v>16</v>
      </c>
      <c r="G1368" t="s">
        <v>109</v>
      </c>
      <c r="H1368">
        <f>HYPERLINK("https://www.jouwictvacature.nl/solliciteren?job=medior--senior-net-developer-cnet-aspnet-mvc-azure-2", "Link")</f>
        <v/>
      </c>
      <c r="I1368" t="s">
        <v>17</v>
      </c>
      <c r="J1368" t="s">
        <v>18</v>
      </c>
      <c r="K1368" t="s">
        <v>110</v>
      </c>
      <c r="L1368" t="s">
        <v>1924</v>
      </c>
    </row>
    <row hidden="1" r="1369" s="1" spans="1:12">
      <c r="A1369" s="4" t="n">
        <v>43137</v>
      </c>
      <c r="B1369" t="s">
        <v>574</v>
      </c>
      <c r="C1369" t="s">
        <v>575</v>
      </c>
      <c r="D1369" t="s">
        <v>245</v>
      </c>
      <c r="E1369" t="s">
        <v>15</v>
      </c>
      <c r="F1369" t="s">
        <v>52</v>
      </c>
      <c r="G1369" t="s">
        <v>576</v>
      </c>
      <c r="H1369">
        <f>HYPERLINK("https://www.jouwictvacature.nl/solliciteren?job=medior-ios-developer-bij-webbeat", "Link")</f>
        <v/>
      </c>
      <c r="I1369" t="s">
        <v>17</v>
      </c>
      <c r="J1369" t="s">
        <v>18</v>
      </c>
      <c r="K1369" t="s">
        <v>577</v>
      </c>
      <c r="L1369" t="s">
        <v>578</v>
      </c>
    </row>
    <row hidden="1" r="1370" s="1" spans="1:12">
      <c r="A1370" s="4" t="n">
        <v>43137</v>
      </c>
      <c r="B1370" t="s">
        <v>785</v>
      </c>
      <c r="C1370" t="s">
        <v>522</v>
      </c>
      <c r="D1370" t="s">
        <v>22</v>
      </c>
      <c r="E1370" t="s">
        <v>15</v>
      </c>
      <c r="F1370" t="s">
        <v>16</v>
      </c>
      <c r="G1370" t="s">
        <v>785</v>
      </c>
      <c r="H1370">
        <f>HYPERLINK("https://www.jouwictvacature.nl/solliciteren?job=software-engineer-bij-ecare-2", "Link")</f>
        <v/>
      </c>
      <c r="I1370" t="s">
        <v>17</v>
      </c>
      <c r="J1370" t="s">
        <v>18</v>
      </c>
      <c r="K1370" t="s">
        <v>1478</v>
      </c>
      <c r="L1370" t="s">
        <v>1925</v>
      </c>
    </row>
    <row hidden="1" r="1371" s="1" spans="1:12">
      <c r="A1371" s="4" t="n">
        <v>43137</v>
      </c>
      <c r="B1371" t="s">
        <v>1174</v>
      </c>
      <c r="C1371" t="s">
        <v>1175</v>
      </c>
      <c r="D1371" t="s">
        <v>22</v>
      </c>
      <c r="E1371" t="s">
        <v>15</v>
      </c>
      <c r="F1371" t="s">
        <v>28</v>
      </c>
      <c r="G1371" t="s">
        <v>1926</v>
      </c>
      <c r="H1371">
        <f>HYPERLINK("https://www.jouwictvacature.nl/solliciteren?job=senior-c-developer-met-affiniteit-voor-blockchain-machine-learning-en-", "Link")</f>
        <v/>
      </c>
      <c r="I1371" t="s">
        <v>17</v>
      </c>
      <c r="J1371" t="s">
        <v>18</v>
      </c>
      <c r="K1371" t="s">
        <v>1177</v>
      </c>
      <c r="L1371" t="s">
        <v>1927</v>
      </c>
    </row>
    <row hidden="1" r="1372" s="1" spans="1:12">
      <c r="A1372" s="4" t="n">
        <v>43137</v>
      </c>
      <c r="B1372" t="s">
        <v>346</v>
      </c>
      <c r="C1372" t="s">
        <v>80</v>
      </c>
      <c r="D1372" t="s">
        <v>14</v>
      </c>
      <c r="E1372" t="s">
        <v>15</v>
      </c>
      <c r="F1372" t="s">
        <v>16</v>
      </c>
      <c r="G1372" t="s">
        <v>352</v>
      </c>
      <c r="H1372">
        <f>HYPERLINK("https://www.jouwictvacature.nl/solliciteren?job=ervaren-c-net-developer-bij-mwm2", "Link")</f>
        <v/>
      </c>
      <c r="I1372" t="s">
        <v>17</v>
      </c>
      <c r="J1372" t="s">
        <v>18</v>
      </c>
      <c r="K1372" t="s">
        <v>348</v>
      </c>
      <c r="L1372" t="s">
        <v>353</v>
      </c>
    </row>
    <row hidden="1" r="1373" s="1" spans="1:12">
      <c r="A1373" s="4" t="n">
        <v>43137</v>
      </c>
      <c r="B1373" t="s">
        <v>293</v>
      </c>
      <c r="C1373" t="s">
        <v>294</v>
      </c>
      <c r="D1373" t="s">
        <v>14</v>
      </c>
      <c r="E1373" t="s">
        <v>15</v>
      </c>
      <c r="F1373" t="s">
        <v>28</v>
      </c>
      <c r="G1373" t="s">
        <v>1928</v>
      </c>
      <c r="H1373">
        <f>HYPERLINK("https://www.jouwictvacature.nl/solliciteren?job=senior-webdeveloper--fulltime-bij-koekenpeer", "Link")</f>
        <v/>
      </c>
      <c r="I1373" t="s">
        <v>17</v>
      </c>
      <c r="J1373" t="s">
        <v>18</v>
      </c>
      <c r="K1373" t="s">
        <v>296</v>
      </c>
      <c r="L1373" t="s">
        <v>1929</v>
      </c>
    </row>
    <row hidden="1" r="1374" s="1" spans="1:12">
      <c r="A1374" s="4" t="n">
        <v>43137</v>
      </c>
      <c r="B1374" t="s">
        <v>354</v>
      </c>
      <c r="C1374" t="s">
        <v>50</v>
      </c>
      <c r="D1374" t="s">
        <v>14</v>
      </c>
      <c r="E1374" t="s">
        <v>15</v>
      </c>
      <c r="F1374" t="s">
        <v>28</v>
      </c>
      <c r="G1374" t="s">
        <v>1450</v>
      </c>
      <c r="H1374">
        <f>HYPERLINK("https://www.jouwictvacature.nl/solliciteren?job=senior-drupal-developer-bij-netvlies", "Link")</f>
        <v/>
      </c>
      <c r="I1374" t="s">
        <v>17</v>
      </c>
      <c r="J1374" t="s">
        <v>18</v>
      </c>
      <c r="K1374" t="s">
        <v>1451</v>
      </c>
      <c r="L1374" t="s">
        <v>1452</v>
      </c>
    </row>
    <row hidden="1" r="1375" s="1" spans="1:12">
      <c r="A1375" s="4" t="n">
        <v>43137</v>
      </c>
      <c r="B1375" t="s">
        <v>478</v>
      </c>
      <c r="C1375" t="s">
        <v>479</v>
      </c>
      <c r="D1375" t="s">
        <v>245</v>
      </c>
      <c r="E1375" t="s">
        <v>15</v>
      </c>
      <c r="F1375" t="s">
        <v>16</v>
      </c>
      <c r="G1375" t="s">
        <v>1560</v>
      </c>
      <c r="H1375">
        <f>HYPERLINK("https://www.jouwictvacature.nl/solliciteren?job=gedreven-php-developer-met-ervaring-gezocht", "Link")</f>
        <v/>
      </c>
      <c r="I1375" t="s">
        <v>17</v>
      </c>
      <c r="J1375" t="s">
        <v>18</v>
      </c>
      <c r="K1375" t="s">
        <v>484</v>
      </c>
      <c r="L1375" t="s">
        <v>1561</v>
      </c>
    </row>
    <row hidden="1" r="1376" s="1" spans="1:12">
      <c r="A1376" s="4" t="n">
        <v>43137</v>
      </c>
      <c r="B1376" t="s">
        <v>585</v>
      </c>
      <c r="C1376" t="s">
        <v>586</v>
      </c>
      <c r="D1376" t="s">
        <v>245</v>
      </c>
      <c r="E1376" t="s">
        <v>15</v>
      </c>
      <c r="F1376" t="s">
        <v>16</v>
      </c>
      <c r="G1376" t="s">
        <v>1750</v>
      </c>
      <c r="H1376">
        <f>HYPERLINK("https://www.jouwictvacature.nl/solliciteren?job=senior-php-webontwikkelaar-met-kennis-van-laravel", "Link")</f>
        <v/>
      </c>
      <c r="I1376" t="s">
        <v>17</v>
      </c>
      <c r="J1376" t="s">
        <v>18</v>
      </c>
      <c r="K1376" t="s">
        <v>1751</v>
      </c>
      <c r="L1376" t="s">
        <v>1752</v>
      </c>
    </row>
    <row hidden="1" r="1377" s="1" spans="1:12">
      <c r="A1377" s="4" t="n">
        <v>43137</v>
      </c>
      <c r="B1377" t="s">
        <v>354</v>
      </c>
      <c r="C1377" t="s">
        <v>50</v>
      </c>
      <c r="D1377" t="s">
        <v>14</v>
      </c>
      <c r="E1377" t="s">
        <v>15</v>
      </c>
      <c r="F1377" t="s">
        <v>52</v>
      </c>
      <c r="G1377" t="s">
        <v>1777</v>
      </c>
      <c r="H1377">
        <f>HYPERLINK("https://www.jouwictvacature.nl/solliciteren?job=medior-drupal-developer", "Link")</f>
        <v/>
      </c>
      <c r="I1377" t="s">
        <v>17</v>
      </c>
      <c r="J1377" t="s">
        <v>18</v>
      </c>
      <c r="K1377" t="s">
        <v>1451</v>
      </c>
      <c r="L1377" t="s">
        <v>1778</v>
      </c>
    </row>
    <row hidden="1" r="1378" s="1" spans="1:12">
      <c r="A1378" s="4" t="n">
        <v>43137</v>
      </c>
      <c r="B1378" t="s">
        <v>1760</v>
      </c>
      <c r="C1378" t="s">
        <v>62</v>
      </c>
      <c r="D1378" t="s">
        <v>245</v>
      </c>
      <c r="E1378" t="s">
        <v>15</v>
      </c>
      <c r="F1378" t="s">
        <v>16</v>
      </c>
      <c r="G1378" t="s">
        <v>1760</v>
      </c>
      <c r="H1378">
        <f>HYPERLINK("https://www.jouwictvacature.nl/solliciteren?job=backend-developer-bij-zeo", "Link")</f>
        <v/>
      </c>
      <c r="I1378" t="s">
        <v>17</v>
      </c>
      <c r="J1378" t="s">
        <v>18</v>
      </c>
      <c r="K1378" t="s">
        <v>1844</v>
      </c>
      <c r="L1378" t="s">
        <v>1845</v>
      </c>
    </row>
    <row hidden="1" r="1379" s="1" spans="1:12">
      <c r="A1379" s="4" t="n">
        <v>43137</v>
      </c>
      <c r="B1379" t="s">
        <v>317</v>
      </c>
      <c r="C1379" t="s">
        <v>45</v>
      </c>
      <c r="D1379" t="s">
        <v>14</v>
      </c>
      <c r="E1379" t="s">
        <v>15</v>
      </c>
      <c r="F1379" t="s">
        <v>52</v>
      </c>
      <c r="G1379" t="s">
        <v>318</v>
      </c>
      <c r="H1379">
        <f>HYPERLINK("https://www.jouwictvacature.nl/solliciteren?job=medior-front-end-developer-bij-maximumnl", "Link")</f>
        <v/>
      </c>
      <c r="I1379" t="s">
        <v>17</v>
      </c>
      <c r="J1379" t="s">
        <v>18</v>
      </c>
      <c r="K1379" t="s">
        <v>319</v>
      </c>
      <c r="L1379" t="s">
        <v>320</v>
      </c>
    </row>
    <row hidden="1" r="1380" s="1" spans="1:12">
      <c r="A1380" s="4" t="n">
        <v>43137</v>
      </c>
      <c r="B1380" t="s">
        <v>26</v>
      </c>
      <c r="C1380" t="s">
        <v>27</v>
      </c>
      <c r="D1380" t="s">
        <v>22</v>
      </c>
      <c r="E1380" t="s">
        <v>15</v>
      </c>
      <c r="F1380" t="s">
        <v>28</v>
      </c>
      <c r="G1380" t="s">
        <v>32</v>
      </c>
      <c r="H1380">
        <f>HYPERLINK("https://www.jouwictvacature.nl/solliciteren?job=senior-php-back-end-developer-bij-aan-zee-communicatie", "Link")</f>
        <v/>
      </c>
      <c r="I1380" t="s">
        <v>17</v>
      </c>
      <c r="J1380" t="s">
        <v>18</v>
      </c>
      <c r="K1380" t="s">
        <v>30</v>
      </c>
      <c r="L1380" t="s">
        <v>33</v>
      </c>
    </row>
    <row hidden="1" r="1381" s="1" spans="1:12">
      <c r="A1381" s="4" t="n">
        <v>43137</v>
      </c>
      <c r="B1381" t="s">
        <v>293</v>
      </c>
      <c r="C1381" t="s">
        <v>294</v>
      </c>
      <c r="D1381" t="s">
        <v>14</v>
      </c>
      <c r="E1381" t="s">
        <v>15</v>
      </c>
      <c r="F1381" t="s">
        <v>28</v>
      </c>
      <c r="G1381" t="s">
        <v>295</v>
      </c>
      <c r="H1381">
        <f>HYPERLINK("https://www.jouwictvacature.nl/solliciteren?job=senior-php-developer--fulltime-bij-koekenpeer", "Link")</f>
        <v/>
      </c>
      <c r="I1381" t="s">
        <v>17</v>
      </c>
      <c r="J1381" t="s">
        <v>18</v>
      </c>
      <c r="K1381" t="s">
        <v>296</v>
      </c>
      <c r="L1381" t="s">
        <v>297</v>
      </c>
    </row>
    <row hidden="1" r="1382" s="1" spans="1:12">
      <c r="A1382" s="4" t="n">
        <v>43137</v>
      </c>
      <c r="B1382" t="s">
        <v>878</v>
      </c>
      <c r="C1382" t="s">
        <v>1670</v>
      </c>
      <c r="D1382" t="s">
        <v>22</v>
      </c>
      <c r="E1382" t="s">
        <v>15</v>
      </c>
      <c r="F1382" t="s">
        <v>52</v>
      </c>
      <c r="G1382" t="s">
        <v>1930</v>
      </c>
      <c r="H1382">
        <f>HYPERLINK("https://www.jouwictvacature.nl/solliciteren?job=medior-laravel-php-developer-bij-divtag", "Link")</f>
        <v/>
      </c>
      <c r="I1382" t="s">
        <v>17</v>
      </c>
      <c r="J1382" t="s">
        <v>18</v>
      </c>
      <c r="K1382" t="s">
        <v>879</v>
      </c>
      <c r="L1382" t="s">
        <v>1931</v>
      </c>
    </row>
    <row hidden="1" r="1383" s="1" spans="1:12">
      <c r="A1383" s="4" t="n">
        <v>43137</v>
      </c>
      <c r="B1383" t="s">
        <v>332</v>
      </c>
      <c r="C1383" t="s">
        <v>333</v>
      </c>
      <c r="D1383" t="s">
        <v>14</v>
      </c>
      <c r="E1383" t="s">
        <v>15</v>
      </c>
      <c r="F1383" t="s">
        <v>28</v>
      </c>
      <c r="G1383" t="s">
        <v>39</v>
      </c>
      <c r="H1383">
        <f>HYPERLINK("https://www.jouwictvacature.nl/solliciteren?job=senior-front-end-developer-bij-mplus", "Link")</f>
        <v/>
      </c>
      <c r="I1383" t="s">
        <v>17</v>
      </c>
      <c r="J1383" t="s">
        <v>18</v>
      </c>
      <c r="K1383" t="s">
        <v>340</v>
      </c>
      <c r="L1383" t="s">
        <v>1932</v>
      </c>
    </row>
    <row hidden="1" r="1384" s="1" spans="1:12">
      <c r="A1384" s="4" t="n">
        <v>43137</v>
      </c>
      <c r="B1384" t="s">
        <v>823</v>
      </c>
      <c r="C1384" t="s">
        <v>806</v>
      </c>
      <c r="D1384" t="s">
        <v>22</v>
      </c>
      <c r="E1384" t="s">
        <v>15</v>
      </c>
      <c r="F1384" t="s">
        <v>16</v>
      </c>
      <c r="G1384" t="s">
        <v>823</v>
      </c>
      <c r="H1384">
        <f>HYPERLINK("https://www.jouwictvacature.nl/solliciteren?job=medior-front-end-developer-bij-appmachine-", "Link")</f>
        <v/>
      </c>
      <c r="I1384" t="s">
        <v>17</v>
      </c>
      <c r="J1384" t="s">
        <v>18</v>
      </c>
      <c r="K1384" t="s">
        <v>1031</v>
      </c>
      <c r="L1384" t="s">
        <v>1032</v>
      </c>
    </row>
    <row hidden="1" r="1385" s="1" spans="1:12">
      <c r="A1385" s="4" t="n">
        <v>43137</v>
      </c>
      <c r="B1385" t="s">
        <v>958</v>
      </c>
      <c r="C1385" t="s">
        <v>959</v>
      </c>
      <c r="D1385" t="s">
        <v>245</v>
      </c>
      <c r="E1385" t="s">
        <v>15</v>
      </c>
      <c r="F1385" t="s">
        <v>16</v>
      </c>
      <c r="G1385" t="s">
        <v>958</v>
      </c>
      <c r="H1385">
        <f>HYPERLINK("https://www.jouwictvacature.nl/solliciteren?job=junior-front-end-developer-bij-codarts-hogeschool-voor-de-kunsten-bij-", "Link")</f>
        <v/>
      </c>
      <c r="I1385" t="s">
        <v>17</v>
      </c>
      <c r="J1385" t="s">
        <v>18</v>
      </c>
      <c r="K1385" t="s">
        <v>960</v>
      </c>
      <c r="L1385" t="s">
        <v>1595</v>
      </c>
    </row>
    <row hidden="1" r="1386" s="1" spans="1:12">
      <c r="A1386" s="4" t="n">
        <v>43137</v>
      </c>
      <c r="B1386" t="s">
        <v>1042</v>
      </c>
      <c r="C1386" t="s">
        <v>50</v>
      </c>
      <c r="D1386" t="s">
        <v>22</v>
      </c>
      <c r="E1386" t="s">
        <v>15</v>
      </c>
      <c r="F1386" t="s">
        <v>28</v>
      </c>
      <c r="G1386" t="s">
        <v>1933</v>
      </c>
      <c r="H1386">
        <f>HYPERLINK("https://www.jouwictvacature.nl/solliciteren?job=senior-front-end-developer-met-reactjs-ervaring-bij-bkv-groep", "Link")</f>
        <v/>
      </c>
      <c r="I1386" t="s">
        <v>17</v>
      </c>
      <c r="J1386" t="s">
        <v>18</v>
      </c>
      <c r="K1386" t="s">
        <v>1044</v>
      </c>
      <c r="L1386" t="s">
        <v>1934</v>
      </c>
    </row>
    <row hidden="1" r="1387" s="1" spans="1:12">
      <c r="A1387" s="4" t="n">
        <v>43137</v>
      </c>
      <c r="B1387" t="s">
        <v>374</v>
      </c>
      <c r="C1387" t="s">
        <v>93</v>
      </c>
      <c r="D1387" t="s">
        <v>14</v>
      </c>
      <c r="E1387" t="s">
        <v>15</v>
      </c>
      <c r="F1387" t="s">
        <v>28</v>
      </c>
      <c r="G1387" t="s">
        <v>1935</v>
      </c>
      <c r="H1387">
        <f>HYPERLINK("https://www.jouwictvacature.nl/solliciteren?job=senior-front-end-developer-met-reactjs-ervaring-bij-oo-shopping", "Link")</f>
        <v/>
      </c>
      <c r="I1387" t="s">
        <v>17</v>
      </c>
      <c r="J1387" t="s">
        <v>18</v>
      </c>
      <c r="K1387" t="s">
        <v>376</v>
      </c>
      <c r="L1387" t="s">
        <v>1936</v>
      </c>
    </row>
    <row hidden="1" r="1388" s="1" spans="1:12">
      <c r="A1388" s="4" t="n">
        <v>43137</v>
      </c>
      <c r="B1388" t="s">
        <v>493</v>
      </c>
      <c r="C1388" t="s">
        <v>72</v>
      </c>
      <c r="D1388" t="s">
        <v>245</v>
      </c>
      <c r="E1388" t="s">
        <v>15</v>
      </c>
      <c r="F1388" t="s">
        <v>16</v>
      </c>
      <c r="G1388" t="s">
        <v>493</v>
      </c>
      <c r="H1388">
        <f>HYPERLINK("https://www.jouwictvacature.nl/solliciteren?job=medior-web-developer-met-front-end-focus-bij-sumedia", "Link")</f>
        <v/>
      </c>
      <c r="I1388" t="s">
        <v>17</v>
      </c>
      <c r="J1388" t="s">
        <v>18</v>
      </c>
      <c r="K1388" t="s">
        <v>1605</v>
      </c>
      <c r="L1388" t="s">
        <v>1937</v>
      </c>
    </row>
    <row hidden="1" r="1389" s="1" spans="1:12">
      <c r="A1389" s="4" t="n">
        <v>43137</v>
      </c>
      <c r="B1389" t="s">
        <v>1503</v>
      </c>
      <c r="C1389" t="s">
        <v>80</v>
      </c>
      <c r="D1389" t="s">
        <v>14</v>
      </c>
      <c r="E1389" t="s">
        <v>15</v>
      </c>
      <c r="F1389" t="s">
        <v>16</v>
      </c>
      <c r="G1389" t="s">
        <v>1503</v>
      </c>
      <c r="H1389">
        <f>HYPERLINK("https://www.jouwictvacature.nl/solliciteren?job=senior-front-end-developer-bij-owlin", "Link")</f>
        <v/>
      </c>
      <c r="I1389" t="s">
        <v>17</v>
      </c>
      <c r="J1389" t="s">
        <v>18</v>
      </c>
      <c r="K1389" t="s">
        <v>1504</v>
      </c>
      <c r="L1389" t="s">
        <v>1938</v>
      </c>
    </row>
    <row hidden="1" r="1390" s="1" spans="1:12">
      <c r="A1390" s="4" t="n">
        <v>43137</v>
      </c>
      <c r="B1390" t="s">
        <v>164</v>
      </c>
      <c r="C1390" t="s">
        <v>80</v>
      </c>
      <c r="D1390" t="s">
        <v>22</v>
      </c>
      <c r="E1390" t="s">
        <v>15</v>
      </c>
      <c r="F1390" t="s">
        <v>52</v>
      </c>
      <c r="G1390" t="s">
        <v>168</v>
      </c>
      <c r="H1390">
        <f>HYPERLINK("https://www.jouwictvacature.nl/solliciteren?job=medior-java-developer-met-interesse-in-iot-bij-dexels-in-amsterdam", "Link")</f>
        <v/>
      </c>
      <c r="I1390" t="s">
        <v>17</v>
      </c>
      <c r="J1390" t="s">
        <v>18</v>
      </c>
      <c r="K1390" t="s">
        <v>169</v>
      </c>
      <c r="L1390" t="s">
        <v>170</v>
      </c>
    </row>
    <row hidden="1" r="1391" s="1" spans="1:12">
      <c r="A1391" s="4" t="n">
        <v>43137</v>
      </c>
      <c r="B1391" t="s">
        <v>564</v>
      </c>
      <c r="C1391" t="s">
        <v>62</v>
      </c>
      <c r="D1391" t="s">
        <v>245</v>
      </c>
      <c r="E1391" t="s">
        <v>15</v>
      </c>
      <c r="F1391" t="s">
        <v>16</v>
      </c>
      <c r="G1391" t="s">
        <v>1817</v>
      </c>
      <c r="H1391">
        <f>HYPERLINK("https://www.jouwictvacature.nl/solliciteren?job=trainee-software-test-tool-expert-bij-volant-groep", "Link")</f>
        <v/>
      </c>
      <c r="I1391" t="s">
        <v>17</v>
      </c>
      <c r="J1391" t="s">
        <v>18</v>
      </c>
      <c r="K1391" t="s">
        <v>1818</v>
      </c>
      <c r="L1391" t="s">
        <v>1819</v>
      </c>
    </row>
    <row hidden="1" r="1392" s="1" spans="1:12">
      <c r="A1392" s="4" t="n">
        <v>43137</v>
      </c>
      <c r="B1392" t="s">
        <v>237</v>
      </c>
      <c r="C1392" t="s">
        <v>93</v>
      </c>
      <c r="D1392" t="s">
        <v>22</v>
      </c>
      <c r="E1392" t="s">
        <v>15</v>
      </c>
      <c r="F1392" t="s">
        <v>28</v>
      </c>
      <c r="G1392" t="s">
        <v>1939</v>
      </c>
      <c r="H1392">
        <f>HYPERLINK("https://www.jouwictvacature.nl/solliciteren?job=senior-integratie-specialist--mulesoft-oracle-soa-suite-wso2-websphere-2", "Link")</f>
        <v/>
      </c>
      <c r="I1392" t="s">
        <v>17</v>
      </c>
      <c r="J1392" t="s">
        <v>18</v>
      </c>
      <c r="K1392" t="s">
        <v>1940</v>
      </c>
      <c r="L1392" t="s">
        <v>1941</v>
      </c>
    </row>
    <row hidden="1" r="1393" s="1" spans="1:12">
      <c r="A1393" s="4" t="n">
        <v>43137</v>
      </c>
      <c r="B1393" t="s">
        <v>273</v>
      </c>
      <c r="C1393" t="s">
        <v>274</v>
      </c>
      <c r="D1393" t="s">
        <v>14</v>
      </c>
      <c r="E1393" t="s">
        <v>15</v>
      </c>
      <c r="F1393" t="s">
        <v>28</v>
      </c>
      <c r="G1393" t="s">
        <v>275</v>
      </c>
      <c r="H1393">
        <f>HYPERLINK("https://www.jouwictvacature.nl/solliciteren?job=senior-java-ontwikkelaar--java-ee-gis-jpa-eclipse-mysql-glassfish", "Link")</f>
        <v/>
      </c>
      <c r="I1393" t="s">
        <v>17</v>
      </c>
      <c r="J1393" t="s">
        <v>18</v>
      </c>
      <c r="K1393" t="s">
        <v>276</v>
      </c>
      <c r="L1393" t="s">
        <v>277</v>
      </c>
    </row>
    <row hidden="1" r="1394" s="1" spans="1:12">
      <c r="A1394" s="4" t="n">
        <v>43137</v>
      </c>
      <c r="B1394" t="s">
        <v>1377</v>
      </c>
      <c r="C1394" t="s">
        <v>1378</v>
      </c>
      <c r="D1394" t="s">
        <v>22</v>
      </c>
      <c r="E1394" t="s">
        <v>15</v>
      </c>
      <c r="F1394" t="s">
        <v>16</v>
      </c>
      <c r="G1394" t="s">
        <v>1942</v>
      </c>
      <c r="H1394">
        <f>HYPERLINK("https://www.jouwictvacature.nl/solliciteren?job=backend-developer-bij-gappless-te-halfweg-bij-gappless", "Link")</f>
        <v/>
      </c>
      <c r="I1394" t="s">
        <v>17</v>
      </c>
      <c r="J1394" t="s">
        <v>18</v>
      </c>
      <c r="K1394" t="s">
        <v>1810</v>
      </c>
      <c r="L1394" t="s">
        <v>1943</v>
      </c>
    </row>
    <row r="1395" spans="1:12">
      <c r="A1395" s="4" t="n">
        <v>43137</v>
      </c>
      <c r="B1395" t="s">
        <v>532</v>
      </c>
      <c r="C1395" t="s">
        <v>80</v>
      </c>
      <c r="D1395" t="s">
        <v>245</v>
      </c>
      <c r="E1395" t="s">
        <v>51</v>
      </c>
      <c r="F1395" t="s">
        <v>16</v>
      </c>
      <c r="G1395" t="s">
        <v>1944</v>
      </c>
      <c r="H1395">
        <f>HYPERLINK("https://www.jouwictvacature.nl/solliciteren?job=machine-learning-developer--java-spring-boot-hibernate-tensorflow-bij-", "Link")</f>
        <v/>
      </c>
      <c r="I1395" t="s">
        <v>17</v>
      </c>
      <c r="J1395" t="s">
        <v>18</v>
      </c>
      <c r="K1395" t="s">
        <v>542</v>
      </c>
      <c r="L1395" t="s">
        <v>1945</v>
      </c>
    </row>
    <row hidden="1" r="1396" s="1" spans="1:12">
      <c r="A1396" s="4" t="n">
        <v>43137</v>
      </c>
      <c r="B1396" t="s">
        <v>564</v>
      </c>
      <c r="C1396" t="s">
        <v>62</v>
      </c>
      <c r="D1396" t="s">
        <v>245</v>
      </c>
      <c r="E1396" t="s">
        <v>1946</v>
      </c>
      <c r="F1396" t="s">
        <v>16</v>
      </c>
      <c r="G1396" t="s">
        <v>1947</v>
      </c>
      <c r="H1396">
        <f>HYPERLINK("https://www.jouwictvacature.nl/solliciteren?job=trainee-software-ontwikkeling-bij-volant-groep", "Link")</f>
        <v/>
      </c>
      <c r="I1396" t="s">
        <v>17</v>
      </c>
      <c r="J1396" t="s">
        <v>18</v>
      </c>
      <c r="K1396" t="s">
        <v>1948</v>
      </c>
      <c r="L1396" t="s">
        <v>1949</v>
      </c>
    </row>
    <row hidden="1" r="1397" s="1" spans="1:12">
      <c r="A1397" s="4" t="n">
        <v>43137</v>
      </c>
      <c r="B1397" t="s">
        <v>1724</v>
      </c>
      <c r="C1397" t="s">
        <v>1725</v>
      </c>
      <c r="D1397" t="s">
        <v>245</v>
      </c>
      <c r="E1397" t="s">
        <v>15</v>
      </c>
      <c r="F1397" t="s">
        <v>16</v>
      </c>
      <c r="G1397" t="s">
        <v>1950</v>
      </c>
      <c r="H1397">
        <f>HYPERLINK("https://www.jouwictvacature.nl/solliciteren?job=rend-software-developer-bij-usoft", "Link")</f>
        <v/>
      </c>
      <c r="I1397" t="s">
        <v>17</v>
      </c>
      <c r="J1397" t="s">
        <v>18</v>
      </c>
      <c r="K1397" t="s">
        <v>1871</v>
      </c>
      <c r="L1397" t="s">
        <v>1951</v>
      </c>
    </row>
    <row hidden="1" r="1398" s="1" spans="1:12">
      <c r="A1398" s="4" t="n">
        <v>43137</v>
      </c>
      <c r="B1398" t="s">
        <v>136</v>
      </c>
      <c r="C1398" t="s">
        <v>137</v>
      </c>
      <c r="D1398" t="s">
        <v>22</v>
      </c>
      <c r="E1398" t="s">
        <v>15</v>
      </c>
      <c r="F1398" t="s">
        <v>16</v>
      </c>
      <c r="G1398" t="s">
        <v>138</v>
      </c>
      <c r="H1398">
        <f>HYPERLINK("https://www.jouwictvacature.nl/solliciteren?job=medior-software-engineer-bij-cgi", "Link")</f>
        <v/>
      </c>
      <c r="I1398" t="s">
        <v>17</v>
      </c>
      <c r="J1398" t="s">
        <v>18</v>
      </c>
      <c r="K1398" t="s">
        <v>139</v>
      </c>
      <c r="L1398" t="s">
        <v>1629</v>
      </c>
    </row>
    <row r="1399" spans="1:12">
      <c r="A1399" s="4" t="n">
        <v>43137</v>
      </c>
      <c r="B1399" t="s">
        <v>1952</v>
      </c>
      <c r="C1399" t="s">
        <v>72</v>
      </c>
      <c r="D1399" t="s">
        <v>22</v>
      </c>
      <c r="E1399" t="s">
        <v>51</v>
      </c>
      <c r="F1399" t="s">
        <v>16</v>
      </c>
      <c r="G1399" t="s">
        <v>1952</v>
      </c>
      <c r="H1399">
        <f>HYPERLINK("https://www.jouwictvacature.nl/solliciteren?job=medior-java-developer-bij-plauti-in-arnhem", "Link")</f>
        <v/>
      </c>
      <c r="I1399" t="s">
        <v>17</v>
      </c>
      <c r="J1399" t="s">
        <v>18</v>
      </c>
      <c r="K1399" t="s">
        <v>1953</v>
      </c>
      <c r="L1399" t="s">
        <v>1954</v>
      </c>
    </row>
    <row hidden="1" r="1400" s="1" spans="1:12">
      <c r="A1400" s="4" t="n">
        <v>43137</v>
      </c>
      <c r="B1400" t="s">
        <v>12</v>
      </c>
      <c r="C1400" t="s">
        <v>13</v>
      </c>
      <c r="D1400" t="s">
        <v>22</v>
      </c>
      <c r="E1400" t="s">
        <v>15</v>
      </c>
      <c r="F1400" t="s">
        <v>16</v>
      </c>
      <c r="G1400" t="s">
        <v>12</v>
      </c>
      <c r="H1400">
        <f>HYPERLINK("https://www.jouwictvacature.nl/solliciteren?job=architect-net-bij-4dotnet", "Link")</f>
        <v/>
      </c>
      <c r="I1400" t="s">
        <v>17</v>
      </c>
      <c r="J1400" t="s">
        <v>18</v>
      </c>
      <c r="K1400" t="s">
        <v>19</v>
      </c>
      <c r="L1400" t="s">
        <v>20</v>
      </c>
    </row>
    <row hidden="1" r="1401" s="1" spans="1:12">
      <c r="A1401" s="4" t="n">
        <v>43137</v>
      </c>
      <c r="B1401" t="s">
        <v>104</v>
      </c>
      <c r="C1401" t="s">
        <v>38</v>
      </c>
      <c r="D1401" t="s">
        <v>22</v>
      </c>
      <c r="E1401" t="s">
        <v>15</v>
      </c>
      <c r="F1401" t="s">
        <v>16</v>
      </c>
      <c r="G1401" t="s">
        <v>104</v>
      </c>
      <c r="H1401">
        <f>HYPERLINK("https://www.jouwictvacature.nl/solliciteren?job=microsoft-net-lead-developer-bij-betabit-regio-eindhoven", "Link")</f>
        <v/>
      </c>
      <c r="I1401" t="s">
        <v>17</v>
      </c>
      <c r="J1401" t="s">
        <v>18</v>
      </c>
      <c r="K1401" t="s">
        <v>1172</v>
      </c>
      <c r="L1401" t="s">
        <v>1173</v>
      </c>
    </row>
    <row hidden="1" r="1402" s="1" spans="1:12">
      <c r="A1402" s="4" t="n">
        <v>43137</v>
      </c>
      <c r="B1402" t="s">
        <v>386</v>
      </c>
      <c r="C1402" t="s">
        <v>387</v>
      </c>
      <c r="D1402" t="s">
        <v>14</v>
      </c>
      <c r="E1402" t="s">
        <v>15</v>
      </c>
      <c r="F1402" t="s">
        <v>28</v>
      </c>
      <c r="G1402" t="s">
        <v>870</v>
      </c>
      <c r="H1402">
        <f>HYPERLINK("https://www.jouwictvacature.nl/solliciteren?job=senior-net-developer-bij-packs", "Link")</f>
        <v/>
      </c>
      <c r="I1402" t="s">
        <v>17</v>
      </c>
      <c r="J1402" t="s">
        <v>18</v>
      </c>
      <c r="K1402" t="s">
        <v>389</v>
      </c>
      <c r="L1402" t="s">
        <v>871</v>
      </c>
    </row>
    <row hidden="1" r="1403" s="1" spans="1:12">
      <c r="A1403" s="4" t="n">
        <v>43137</v>
      </c>
      <c r="B1403" t="s">
        <v>1377</v>
      </c>
      <c r="C1403" t="s">
        <v>1378</v>
      </c>
      <c r="D1403" t="s">
        <v>22</v>
      </c>
      <c r="E1403" t="s">
        <v>15</v>
      </c>
      <c r="F1403" t="s">
        <v>52</v>
      </c>
      <c r="G1403" t="s">
        <v>1514</v>
      </c>
      <c r="H1403">
        <f>HYPERLINK("https://www.jouwictvacature.nl/solliciteren?job=medior-developer-bij-gappless--java-spring-boot-javascript-postgresql-", "Link")</f>
        <v/>
      </c>
      <c r="I1403" t="s">
        <v>17</v>
      </c>
      <c r="J1403" t="s">
        <v>18</v>
      </c>
      <c r="K1403" t="s">
        <v>1810</v>
      </c>
      <c r="L1403" t="s">
        <v>1515</v>
      </c>
    </row>
    <row hidden="1" r="1404" s="1" spans="1:12">
      <c r="A1404" s="4" t="n">
        <v>43137</v>
      </c>
      <c r="B1404" t="s">
        <v>378</v>
      </c>
      <c r="C1404" t="s">
        <v>309</v>
      </c>
      <c r="D1404" t="s">
        <v>14</v>
      </c>
      <c r="E1404" t="s">
        <v>15</v>
      </c>
      <c r="F1404" t="s">
        <v>16</v>
      </c>
      <c r="G1404" t="s">
        <v>1630</v>
      </c>
      <c r="H1404">
        <f>HYPERLINK("https://www.jouwictvacature.nl/solliciteren?job=stageopdracht-opentaken-bij-opensatisfaction-te-amersfoort", "Link")</f>
        <v/>
      </c>
      <c r="I1404" t="s">
        <v>17</v>
      </c>
      <c r="J1404" t="s">
        <v>18</v>
      </c>
      <c r="K1404" t="s">
        <v>759</v>
      </c>
      <c r="L1404" t="s">
        <v>1631</v>
      </c>
    </row>
    <row hidden="1" r="1405" s="1" spans="1:12">
      <c r="A1405" s="4" t="n">
        <v>43137</v>
      </c>
      <c r="B1405" t="s">
        <v>450</v>
      </c>
      <c r="C1405" t="s">
        <v>451</v>
      </c>
      <c r="D1405" t="s">
        <v>245</v>
      </c>
      <c r="E1405" t="s">
        <v>15</v>
      </c>
      <c r="F1405" t="s">
        <v>34</v>
      </c>
      <c r="G1405" t="s">
        <v>1955</v>
      </c>
      <c r="H1405">
        <f>HYPERLINK("https://www.jouwictvacature.nl/solliciteren?job=junior-javaweb-developer-in-automotive-sector--ms-sql-oracle-jspjavawe", "Link")</f>
        <v/>
      </c>
      <c r="I1405" t="s">
        <v>17</v>
      </c>
      <c r="J1405" t="s">
        <v>18</v>
      </c>
      <c r="K1405" t="s">
        <v>453</v>
      </c>
      <c r="L1405" t="s">
        <v>1956</v>
      </c>
    </row>
    <row r="1406" spans="1:12">
      <c r="A1406" s="4" t="n">
        <v>43137</v>
      </c>
      <c r="B1406" t="s">
        <v>532</v>
      </c>
      <c r="C1406" t="s">
        <v>80</v>
      </c>
      <c r="D1406" t="s">
        <v>245</v>
      </c>
      <c r="E1406" t="s">
        <v>51</v>
      </c>
      <c r="F1406" t="s">
        <v>16</v>
      </c>
      <c r="G1406" t="s">
        <v>1957</v>
      </c>
      <c r="H1406">
        <f>HYPERLINK("https://www.jouwictvacature.nl/solliciteren?job=starting-innovative-backend-software-engineer-at-trifork-bij-trifork", "Link")</f>
        <v/>
      </c>
      <c r="I1406" t="s">
        <v>17</v>
      </c>
      <c r="J1406" t="s">
        <v>18</v>
      </c>
      <c r="K1406" t="s">
        <v>1958</v>
      </c>
      <c r="L1406" t="s">
        <v>1959</v>
      </c>
    </row>
    <row hidden="1" r="1407" s="1" spans="1:12">
      <c r="A1407" s="4" t="n">
        <v>43137</v>
      </c>
      <c r="B1407" t="s">
        <v>450</v>
      </c>
      <c r="C1407" t="s">
        <v>451</v>
      </c>
      <c r="D1407" t="s">
        <v>245</v>
      </c>
      <c r="E1407" t="s">
        <v>15</v>
      </c>
      <c r="F1407" t="s">
        <v>52</v>
      </c>
      <c r="G1407" t="s">
        <v>1960</v>
      </c>
      <c r="H1407">
        <f>HYPERLINK("https://www.jouwictvacature.nl/solliciteren?job=medior-javaweb-developer-bij-sofico-bij-sofico", "Link")</f>
        <v/>
      </c>
      <c r="I1407" t="s">
        <v>17</v>
      </c>
      <c r="J1407" t="s">
        <v>18</v>
      </c>
      <c r="K1407" t="s">
        <v>453</v>
      </c>
      <c r="L1407" t="s">
        <v>1961</v>
      </c>
    </row>
    <row hidden="1" r="1408" s="1" spans="1:12">
      <c r="A1408" s="4" t="n">
        <v>43137</v>
      </c>
      <c r="B1408" t="s">
        <v>115</v>
      </c>
      <c r="C1408" t="s">
        <v>62</v>
      </c>
      <c r="D1408" t="s">
        <v>22</v>
      </c>
      <c r="E1408" t="s">
        <v>15</v>
      </c>
      <c r="F1408" t="s">
        <v>52</v>
      </c>
      <c r="G1408" t="s">
        <v>1962</v>
      </c>
      <c r="H1408">
        <f>HYPERLINK("https://www.jouwictvacature.nl/solliciteren?job=medior-java-developer-bij-bottomline-bij-bottomline", "Link")</f>
        <v/>
      </c>
      <c r="I1408" t="s">
        <v>17</v>
      </c>
      <c r="J1408" t="s">
        <v>18</v>
      </c>
      <c r="K1408" t="s">
        <v>121</v>
      </c>
      <c r="L1408" t="s">
        <v>1963</v>
      </c>
    </row>
    <row hidden="1" r="1409" s="1" spans="1:12">
      <c r="A1409" s="4" t="n">
        <v>43137</v>
      </c>
      <c r="B1409" t="s">
        <v>564</v>
      </c>
      <c r="C1409" t="s">
        <v>62</v>
      </c>
      <c r="D1409" t="s">
        <v>245</v>
      </c>
      <c r="E1409" t="s">
        <v>15</v>
      </c>
      <c r="F1409" t="s">
        <v>28</v>
      </c>
      <c r="G1409" t="s">
        <v>1327</v>
      </c>
      <c r="H1409">
        <f>HYPERLINK("https://www.jouwictvacature.nl/solliciteren?job=senior-java-developer-bij-de-volant-groep", "Link")</f>
        <v/>
      </c>
      <c r="I1409" t="s">
        <v>17</v>
      </c>
      <c r="J1409" t="s">
        <v>18</v>
      </c>
      <c r="K1409" t="s">
        <v>1328</v>
      </c>
      <c r="L1409" t="s">
        <v>1329</v>
      </c>
    </row>
    <row hidden="1" r="1410" s="1" spans="1:12">
      <c r="A1410" s="4" t="n">
        <v>43137</v>
      </c>
      <c r="B1410" t="s">
        <v>61</v>
      </c>
      <c r="C1410" t="s">
        <v>62</v>
      </c>
      <c r="D1410" t="s">
        <v>22</v>
      </c>
      <c r="E1410" t="s">
        <v>15</v>
      </c>
      <c r="F1410" t="s">
        <v>28</v>
      </c>
      <c r="G1410" t="s">
        <v>68</v>
      </c>
      <c r="H1410">
        <f>HYPERLINK("https://www.jouwictvacature.nl/solliciteren?job=senior-software-engineer-bij-axual--java-apache-kafka--incl-macbook-pr", "Link")</f>
        <v/>
      </c>
      <c r="I1410" t="s">
        <v>17</v>
      </c>
      <c r="J1410" t="s">
        <v>18</v>
      </c>
      <c r="K1410" t="s">
        <v>69</v>
      </c>
      <c r="L1410" t="s">
        <v>70</v>
      </c>
    </row>
    <row hidden="1" r="1411" s="1" spans="1:12">
      <c r="A1411" s="4" t="n">
        <v>43137</v>
      </c>
      <c r="B1411" t="s">
        <v>44</v>
      </c>
      <c r="C1411" t="s">
        <v>45</v>
      </c>
      <c r="D1411" t="s">
        <v>22</v>
      </c>
      <c r="E1411" t="s">
        <v>15</v>
      </c>
      <c r="F1411" t="s">
        <v>28</v>
      </c>
      <c r="G1411" t="s">
        <v>46</v>
      </c>
      <c r="H1411">
        <f>HYPERLINK("https://www.jouwictvacature.nl/solliciteren?job=senior-java-software-engineer-bij-alten-capelle", "Link")</f>
        <v/>
      </c>
      <c r="I1411" t="s">
        <v>17</v>
      </c>
      <c r="J1411" t="s">
        <v>18</v>
      </c>
      <c r="K1411" t="s">
        <v>47</v>
      </c>
      <c r="L1411" t="s">
        <v>48</v>
      </c>
    </row>
    <row r="1412" spans="1:12">
      <c r="A1412" s="4" t="n">
        <v>43137</v>
      </c>
      <c r="B1412" t="s">
        <v>1724</v>
      </c>
      <c r="C1412" t="s">
        <v>1725</v>
      </c>
      <c r="D1412" t="s">
        <v>245</v>
      </c>
      <c r="E1412" t="s">
        <v>51</v>
      </c>
      <c r="F1412" t="s">
        <v>16</v>
      </c>
      <c r="G1412" t="s">
        <v>1964</v>
      </c>
      <c r="H1412">
        <f>HYPERLINK("https://www.jouwictvacature.nl/solliciteren?job=rend-software-developer-at-usoft", "Link")</f>
        <v/>
      </c>
      <c r="I1412" t="s">
        <v>17</v>
      </c>
      <c r="J1412" t="s">
        <v>18</v>
      </c>
      <c r="K1412" t="s">
        <v>1892</v>
      </c>
      <c r="L1412" t="s">
        <v>1965</v>
      </c>
    </row>
    <row hidden="1" r="1413" s="1" spans="1:12">
      <c r="A1413" s="4" t="n">
        <v>43137</v>
      </c>
      <c r="B1413" t="s">
        <v>332</v>
      </c>
      <c r="C1413" t="s">
        <v>333</v>
      </c>
      <c r="D1413" t="s">
        <v>14</v>
      </c>
      <c r="E1413" t="s">
        <v>15</v>
      </c>
      <c r="F1413" t="s">
        <v>28</v>
      </c>
      <c r="G1413" t="s">
        <v>1966</v>
      </c>
      <c r="H1413">
        <f>HYPERLINK("https://www.jouwictvacature.nl/solliciteren?job=senior-net-ontwikkelaar-", "Link")</f>
        <v/>
      </c>
      <c r="I1413" t="s">
        <v>17</v>
      </c>
      <c r="J1413" t="s">
        <v>18</v>
      </c>
      <c r="K1413" t="s">
        <v>335</v>
      </c>
      <c r="L1413" t="s">
        <v>1967</v>
      </c>
    </row>
    <row hidden="1" r="1414" s="1" spans="1:12">
      <c r="A1414" s="4" t="n">
        <v>43137</v>
      </c>
      <c r="B1414" t="s">
        <v>526</v>
      </c>
      <c r="C1414" t="s">
        <v>38</v>
      </c>
      <c r="D1414" t="s">
        <v>245</v>
      </c>
      <c r="E1414" t="s">
        <v>15</v>
      </c>
      <c r="F1414" t="s">
        <v>16</v>
      </c>
      <c r="G1414" t="s">
        <v>526</v>
      </c>
      <c r="H1414">
        <f>HYPERLINK("https://www.jouwictvacature.nl/solliciteren?job=medior-net-developer--c-aspnet-mvc-angularjs-3", "Link")</f>
        <v/>
      </c>
      <c r="I1414" t="s">
        <v>17</v>
      </c>
      <c r="J1414" t="s">
        <v>18</v>
      </c>
      <c r="K1414" t="s">
        <v>527</v>
      </c>
      <c r="L1414" t="s">
        <v>528</v>
      </c>
    </row>
    <row hidden="1" r="1415" s="1" spans="1:12">
      <c r="A1415" s="4" t="n">
        <v>43137</v>
      </c>
      <c r="B1415" t="s">
        <v>257</v>
      </c>
      <c r="C1415" t="s">
        <v>13</v>
      </c>
      <c r="D1415" t="s">
        <v>14</v>
      </c>
      <c r="E1415" t="s">
        <v>15</v>
      </c>
      <c r="F1415" t="s">
        <v>28</v>
      </c>
      <c r="G1415" t="s">
        <v>1968</v>
      </c>
      <c r="H1415">
        <f>HYPERLINK("https://www.jouwictvacature.nl/solliciteren?job=senior-net-developer-met-communicatieve-skills", "Link")</f>
        <v/>
      </c>
      <c r="I1415" t="s">
        <v>17</v>
      </c>
      <c r="J1415" t="s">
        <v>18</v>
      </c>
      <c r="K1415" t="s">
        <v>259</v>
      </c>
      <c r="L1415" t="s">
        <v>1969</v>
      </c>
    </row>
    <row hidden="1" r="1416" s="1" spans="1:12">
      <c r="A1416" s="4" t="n">
        <v>43137</v>
      </c>
      <c r="B1416" t="s">
        <v>1970</v>
      </c>
      <c r="C1416" t="s">
        <v>157</v>
      </c>
      <c r="D1416" t="s">
        <v>22</v>
      </c>
      <c r="E1416" t="s">
        <v>15</v>
      </c>
      <c r="F1416" t="s">
        <v>16</v>
      </c>
      <c r="G1416" t="s">
        <v>1971</v>
      </c>
      <c r="H1416">
        <f>HYPERLINK("https://www.jouwictvacature.nl/solliciteren?job=airport-net-c-web-developer-met-een-passie-voor-software-architectuur", "Link")</f>
        <v/>
      </c>
      <c r="I1416" t="s">
        <v>17</v>
      </c>
      <c r="J1416" t="s">
        <v>18</v>
      </c>
      <c r="K1416" t="s">
        <v>1972</v>
      </c>
      <c r="L1416" t="s">
        <v>1973</v>
      </c>
    </row>
    <row hidden="1" r="1417" s="1" spans="1:12">
      <c r="A1417" s="4" t="n">
        <v>43137</v>
      </c>
      <c r="B1417" t="s">
        <v>12</v>
      </c>
      <c r="C1417" t="s">
        <v>21</v>
      </c>
      <c r="D1417" t="s">
        <v>22</v>
      </c>
      <c r="E1417" t="s">
        <v>15</v>
      </c>
      <c r="F1417" t="s">
        <v>16</v>
      </c>
      <c r="G1417" t="s">
        <v>12</v>
      </c>
      <c r="H1417">
        <f>HYPERLINK("https://www.jouwictvacature.nl/solliciteren?job=lead-net-developer-bij-4dotnet-2", "Link")</f>
        <v/>
      </c>
      <c r="I1417" t="s">
        <v>17</v>
      </c>
      <c r="J1417" t="s">
        <v>18</v>
      </c>
      <c r="K1417" t="s">
        <v>19</v>
      </c>
      <c r="L1417" t="s">
        <v>1974</v>
      </c>
    </row>
    <row hidden="1" r="1418" s="1" spans="1:12">
      <c r="A1418" s="4" t="n">
        <v>43137</v>
      </c>
      <c r="B1418" t="s">
        <v>985</v>
      </c>
      <c r="C1418" t="s">
        <v>986</v>
      </c>
      <c r="D1418" t="s">
        <v>245</v>
      </c>
      <c r="E1418" t="s">
        <v>15</v>
      </c>
      <c r="F1418" t="s">
        <v>34</v>
      </c>
      <c r="G1418" t="s">
        <v>1729</v>
      </c>
      <c r="H1418">
        <f>HYPERLINK("https://www.jouwictvacature.nl/solliciteren?job=junior-net-developer-bij-utilize-voor-32-36-of-40-uur-per-week", "Link")</f>
        <v/>
      </c>
      <c r="I1418" t="s">
        <v>17</v>
      </c>
      <c r="J1418" t="s">
        <v>18</v>
      </c>
      <c r="K1418" t="s">
        <v>988</v>
      </c>
      <c r="L1418" t="s">
        <v>1730</v>
      </c>
    </row>
    <row hidden="1" r="1419" s="1" spans="1:12">
      <c r="A1419" s="4" t="n">
        <v>43137</v>
      </c>
      <c r="B1419" t="s">
        <v>127</v>
      </c>
      <c r="C1419" t="s">
        <v>128</v>
      </c>
      <c r="D1419" t="s">
        <v>22</v>
      </c>
      <c r="E1419" t="s">
        <v>15</v>
      </c>
      <c r="F1419" t="s">
        <v>16</v>
      </c>
      <c r="G1419" t="s">
        <v>129</v>
      </c>
      <c r="H1419">
        <f>HYPERLINK("https://www.jouwictvacature.nl/solliciteren?job=developer-c--audioenvideo-bij-gridshot-thefrontdoor", "Link")</f>
        <v/>
      </c>
      <c r="I1419" t="s">
        <v>17</v>
      </c>
      <c r="J1419" t="s">
        <v>18</v>
      </c>
      <c r="K1419" t="s">
        <v>130</v>
      </c>
      <c r="L1419" t="s">
        <v>131</v>
      </c>
    </row>
    <row hidden="1" r="1420" s="1" spans="1:12">
      <c r="A1420" s="4" t="n">
        <v>43137</v>
      </c>
      <c r="B1420" t="s">
        <v>455</v>
      </c>
      <c r="C1420" t="s">
        <v>38</v>
      </c>
      <c r="D1420" t="s">
        <v>245</v>
      </c>
      <c r="E1420" t="s">
        <v>15</v>
      </c>
      <c r="F1420" t="s">
        <v>52</v>
      </c>
      <c r="G1420" t="s">
        <v>474</v>
      </c>
      <c r="H1420">
        <f>HYPERLINK("https://www.jouwictvacature.nl/solliciteren?job=microsoft-sharepoint-specialist-bij-sogeti-6", "Link")</f>
        <v/>
      </c>
      <c r="I1420" t="s">
        <v>17</v>
      </c>
      <c r="J1420" t="s">
        <v>18</v>
      </c>
      <c r="K1420" t="s">
        <v>458</v>
      </c>
      <c r="L1420" t="s">
        <v>475</v>
      </c>
    </row>
    <row hidden="1" r="1421" s="1" spans="1:12">
      <c r="A1421" s="4" t="n">
        <v>43137</v>
      </c>
      <c r="B1421" t="s">
        <v>405</v>
      </c>
      <c r="C1421" t="s">
        <v>412</v>
      </c>
      <c r="D1421" t="s">
        <v>14</v>
      </c>
      <c r="E1421" t="s">
        <v>15</v>
      </c>
      <c r="F1421" t="s">
        <v>16</v>
      </c>
      <c r="G1421" t="s">
        <v>405</v>
      </c>
      <c r="H1421">
        <f>HYPERLINK("https://www.jouwictvacature.nl/solliciteren?job=pre-sales--solution-architect", "Link")</f>
        <v/>
      </c>
      <c r="I1421" t="s">
        <v>17</v>
      </c>
      <c r="J1421" t="s">
        <v>18</v>
      </c>
      <c r="K1421" t="s">
        <v>1975</v>
      </c>
      <c r="L1421" t="s">
        <v>1976</v>
      </c>
    </row>
    <row hidden="1" r="1422" s="1" spans="1:12">
      <c r="A1422" s="4" t="n">
        <v>43137</v>
      </c>
      <c r="B1422" t="s">
        <v>104</v>
      </c>
      <c r="C1422" t="s">
        <v>38</v>
      </c>
      <c r="D1422" t="s">
        <v>22</v>
      </c>
      <c r="E1422" t="s">
        <v>15</v>
      </c>
      <c r="F1422" t="s">
        <v>16</v>
      </c>
      <c r="G1422" t="s">
        <v>104</v>
      </c>
      <c r="H1422">
        <f>HYPERLINK("https://www.jouwictvacature.nl/solliciteren?job=senior-softwareontwikkelaar-bij-betabit-regio-eindhoven", "Link")</f>
        <v/>
      </c>
      <c r="I1422" t="s">
        <v>17</v>
      </c>
      <c r="J1422" t="s">
        <v>18</v>
      </c>
      <c r="K1422" t="s">
        <v>783</v>
      </c>
      <c r="L1422" t="s">
        <v>1977</v>
      </c>
    </row>
    <row hidden="1" r="1423" s="1" spans="1:12">
      <c r="A1423" s="4" t="n">
        <v>43137</v>
      </c>
      <c r="B1423" t="s">
        <v>1360</v>
      </c>
      <c r="C1423" t="s">
        <v>1361</v>
      </c>
      <c r="D1423" t="s">
        <v>22</v>
      </c>
      <c r="E1423" t="s">
        <v>15</v>
      </c>
      <c r="F1423" t="s">
        <v>28</v>
      </c>
      <c r="G1423" t="s">
        <v>1774</v>
      </c>
      <c r="H1423">
        <f>HYPERLINK("https://www.jouwictvacature.nl/solliciteren?job=senior-back-end-developer-bij-deepdata-bij-deepdata", "Link")</f>
        <v/>
      </c>
      <c r="I1423" t="s">
        <v>17</v>
      </c>
      <c r="J1423" t="s">
        <v>18</v>
      </c>
      <c r="K1423" t="s">
        <v>1775</v>
      </c>
      <c r="L1423" t="s">
        <v>1776</v>
      </c>
    </row>
    <row hidden="1" r="1424" s="1" spans="1:12">
      <c r="A1424" s="4" t="n">
        <v>43137</v>
      </c>
      <c r="B1424" t="s">
        <v>365</v>
      </c>
      <c r="C1424" t="s">
        <v>366</v>
      </c>
      <c r="D1424" t="s">
        <v>14</v>
      </c>
      <c r="E1424" t="s">
        <v>15</v>
      </c>
      <c r="F1424" t="s">
        <v>16</v>
      </c>
      <c r="G1424" t="s">
        <v>365</v>
      </c>
      <c r="H1424">
        <f>HYPERLINK("https://www.jouwictvacature.nl/solliciteren?job=medior-laravel-programmeur-bij-not-on-paper-", "Link")</f>
        <v/>
      </c>
      <c r="I1424" t="s">
        <v>17</v>
      </c>
      <c r="J1424" t="s">
        <v>18</v>
      </c>
      <c r="K1424" t="s">
        <v>367</v>
      </c>
      <c r="L1424" t="s">
        <v>368</v>
      </c>
    </row>
    <row hidden="1" r="1425" s="1" spans="1:12">
      <c r="A1425" s="4" t="n">
        <v>43137</v>
      </c>
      <c r="B1425" t="s">
        <v>1484</v>
      </c>
      <c r="C1425" t="s">
        <v>1027</v>
      </c>
      <c r="D1425" t="s">
        <v>22</v>
      </c>
      <c r="E1425" t="s">
        <v>15</v>
      </c>
      <c r="F1425" t="s">
        <v>16</v>
      </c>
      <c r="G1425" t="s">
        <v>1484</v>
      </c>
      <c r="H1425">
        <f>HYPERLINK("https://www.jouwictvacature.nl/solliciteren?job=fullstack-developer-met-reactjs-ervaring-bij-flexkids", "Link")</f>
        <v/>
      </c>
      <c r="I1425" t="s">
        <v>17</v>
      </c>
      <c r="J1425" t="s">
        <v>18</v>
      </c>
      <c r="K1425" t="s">
        <v>1485</v>
      </c>
      <c r="L1425" t="s">
        <v>1486</v>
      </c>
    </row>
    <row hidden="1" r="1426" s="1" spans="1:12">
      <c r="A1426" s="4" t="n">
        <v>43137</v>
      </c>
      <c r="B1426" t="s">
        <v>293</v>
      </c>
      <c r="C1426" t="s">
        <v>294</v>
      </c>
      <c r="D1426" t="s">
        <v>14</v>
      </c>
      <c r="E1426" t="s">
        <v>15</v>
      </c>
      <c r="F1426" t="s">
        <v>16</v>
      </c>
      <c r="G1426" t="s">
        <v>1301</v>
      </c>
      <c r="H1426">
        <f>HYPERLINK("https://www.jouwictvacature.nl/solliciteren?job=php-developer--fulltime", "Link")</f>
        <v/>
      </c>
      <c r="I1426" t="s">
        <v>17</v>
      </c>
      <c r="J1426" t="s">
        <v>18</v>
      </c>
      <c r="K1426" t="s">
        <v>1302</v>
      </c>
      <c r="L1426" t="s">
        <v>1303</v>
      </c>
    </row>
    <row hidden="1" r="1427" s="1" spans="1:12">
      <c r="A1427" s="4" t="n">
        <v>43137</v>
      </c>
      <c r="B1427" t="s">
        <v>396</v>
      </c>
      <c r="C1427" t="s">
        <v>397</v>
      </c>
      <c r="D1427" t="s">
        <v>14</v>
      </c>
      <c r="E1427" t="s">
        <v>15</v>
      </c>
      <c r="F1427" t="s">
        <v>28</v>
      </c>
      <c r="G1427" t="s">
        <v>398</v>
      </c>
      <c r="H1427">
        <f>HYPERLINK("https://www.jouwictvacature.nl/solliciteren?job=senior-backend-developer-2", "Link")</f>
        <v/>
      </c>
      <c r="I1427" t="s">
        <v>17</v>
      </c>
      <c r="J1427" t="s">
        <v>18</v>
      </c>
      <c r="K1427" t="s">
        <v>399</v>
      </c>
      <c r="L1427" t="s">
        <v>400</v>
      </c>
    </row>
    <row hidden="1" r="1428" s="1" spans="1:12">
      <c r="A1428" s="4" t="n">
        <v>43137</v>
      </c>
      <c r="B1428" t="s">
        <v>358</v>
      </c>
      <c r="C1428" t="s">
        <v>359</v>
      </c>
      <c r="D1428" t="s">
        <v>14</v>
      </c>
      <c r="E1428" t="s">
        <v>15</v>
      </c>
      <c r="F1428" t="s">
        <v>52</v>
      </c>
      <c r="G1428" t="s">
        <v>360</v>
      </c>
      <c r="H1428">
        <f>HYPERLINK("https://www.jouwictvacature.nl/solliciteren?job=medior-webdeveloper-bij-nobears", "Link")</f>
        <v/>
      </c>
      <c r="I1428" t="s">
        <v>17</v>
      </c>
      <c r="J1428" t="s">
        <v>18</v>
      </c>
      <c r="K1428" t="s">
        <v>361</v>
      </c>
      <c r="L1428" t="s">
        <v>362</v>
      </c>
    </row>
    <row hidden="1" r="1429" s="1" spans="1:12">
      <c r="A1429" s="4" t="n">
        <v>43137</v>
      </c>
      <c r="B1429" t="s">
        <v>230</v>
      </c>
      <c r="C1429" t="s">
        <v>93</v>
      </c>
      <c r="D1429" t="s">
        <v>22</v>
      </c>
      <c r="E1429" t="s">
        <v>15</v>
      </c>
      <c r="F1429" t="s">
        <v>34</v>
      </c>
      <c r="G1429" t="s">
        <v>717</v>
      </c>
      <c r="H1429">
        <f>HYPERLINK("https://www.jouwictvacature.nl/solliciteren?job=junior-php-programmeur-bij-hvmp-marketing--ernesto-", "Link")</f>
        <v/>
      </c>
      <c r="I1429" t="s">
        <v>17</v>
      </c>
      <c r="J1429" t="s">
        <v>18</v>
      </c>
      <c r="K1429" t="s">
        <v>235</v>
      </c>
      <c r="L1429" t="s">
        <v>718</v>
      </c>
    </row>
    <row hidden="1" r="1430" s="1" spans="1:12">
      <c r="A1430" s="4" t="n">
        <v>43137</v>
      </c>
      <c r="B1430" t="s">
        <v>358</v>
      </c>
      <c r="C1430" t="s">
        <v>359</v>
      </c>
      <c r="D1430" t="s">
        <v>14</v>
      </c>
      <c r="E1430" t="s">
        <v>15</v>
      </c>
      <c r="F1430" t="s">
        <v>52</v>
      </c>
      <c r="G1430" t="s">
        <v>711</v>
      </c>
      <c r="H1430">
        <f>HYPERLINK("https://www.jouwictvacature.nl/solliciteren?job=medior-php-developer-bij-nobears", "Link")</f>
        <v/>
      </c>
      <c r="I1430" t="s">
        <v>17</v>
      </c>
      <c r="J1430" t="s">
        <v>18</v>
      </c>
      <c r="K1430" t="s">
        <v>361</v>
      </c>
      <c r="L1430" t="s">
        <v>712</v>
      </c>
    </row>
    <row hidden="1" r="1431" s="1" spans="1:12">
      <c r="A1431" s="4" t="n">
        <v>43137</v>
      </c>
      <c r="B1431" t="s">
        <v>493</v>
      </c>
      <c r="C1431" t="s">
        <v>72</v>
      </c>
      <c r="D1431" t="s">
        <v>245</v>
      </c>
      <c r="E1431" t="s">
        <v>15</v>
      </c>
      <c r="F1431" t="s">
        <v>28</v>
      </c>
      <c r="G1431" t="s">
        <v>734</v>
      </c>
      <c r="H1431">
        <f>HYPERLINK("https://www.jouwictvacature.nl/solliciteren?job=senior-full-stack-developer-bij-sumedia", "Link")</f>
        <v/>
      </c>
      <c r="I1431" t="s">
        <v>17</v>
      </c>
      <c r="J1431" t="s">
        <v>18</v>
      </c>
      <c r="K1431" t="s">
        <v>495</v>
      </c>
      <c r="L1431" t="s">
        <v>735</v>
      </c>
    </row>
    <row hidden="1" r="1432" s="1" spans="1:12">
      <c r="A1432" s="4" t="n">
        <v>43137</v>
      </c>
      <c r="B1432" t="s">
        <v>719</v>
      </c>
      <c r="C1432" t="s">
        <v>93</v>
      </c>
      <c r="D1432" t="s">
        <v>245</v>
      </c>
      <c r="E1432" t="s">
        <v>15</v>
      </c>
      <c r="F1432" t="s">
        <v>34</v>
      </c>
      <c r="G1432" t="s">
        <v>803</v>
      </c>
      <c r="H1432">
        <f>HYPERLINK("https://www.jouwictvacature.nl/solliciteren?job=junior-back-end-developer-bij-23g", "Link")</f>
        <v/>
      </c>
      <c r="I1432" t="s">
        <v>17</v>
      </c>
      <c r="J1432" t="s">
        <v>18</v>
      </c>
      <c r="K1432" t="s">
        <v>721</v>
      </c>
      <c r="L1432" t="s">
        <v>804</v>
      </c>
    </row>
    <row hidden="1" r="1433" s="1" spans="1:12">
      <c r="A1433" s="4" t="n">
        <v>43137</v>
      </c>
      <c r="B1433" t="s">
        <v>843</v>
      </c>
      <c r="C1433" t="s">
        <v>45</v>
      </c>
      <c r="D1433" t="s">
        <v>245</v>
      </c>
      <c r="E1433" t="s">
        <v>15</v>
      </c>
      <c r="F1433" t="s">
        <v>28</v>
      </c>
      <c r="G1433" t="s">
        <v>1418</v>
      </c>
      <c r="H1433">
        <f>HYPERLINK("https://www.jouwictvacature.nl/solliciteren?job=seniorjavascript-developer-bij-rivium-business-solutions", "Link")</f>
        <v/>
      </c>
      <c r="I1433" t="s">
        <v>17</v>
      </c>
      <c r="J1433" t="s">
        <v>18</v>
      </c>
      <c r="K1433" t="s">
        <v>1319</v>
      </c>
      <c r="L1433" t="s">
        <v>1978</v>
      </c>
    </row>
    <row hidden="1" r="1434" s="1" spans="1:12">
      <c r="A1434" s="4" t="n">
        <v>43137</v>
      </c>
      <c r="B1434" t="s">
        <v>1866</v>
      </c>
      <c r="C1434" t="s">
        <v>76</v>
      </c>
      <c r="D1434" t="s">
        <v>14</v>
      </c>
      <c r="E1434" t="s">
        <v>15</v>
      </c>
      <c r="F1434" t="s">
        <v>52</v>
      </c>
      <c r="G1434" t="s">
        <v>1979</v>
      </c>
      <c r="H1434">
        <f>HYPERLINK("https://www.jouwictvacature.nl/solliciteren?job=medior-frontend-developer-bij-kaartje2go", "Link")</f>
        <v/>
      </c>
      <c r="I1434" t="s">
        <v>17</v>
      </c>
      <c r="J1434" t="s">
        <v>18</v>
      </c>
      <c r="K1434" t="s">
        <v>1868</v>
      </c>
      <c r="L1434" t="s">
        <v>1980</v>
      </c>
    </row>
    <row hidden="1" r="1435" s="1" spans="1:12">
      <c r="A1435" s="4" t="n">
        <v>43137</v>
      </c>
      <c r="B1435" t="s">
        <v>745</v>
      </c>
      <c r="C1435" t="s">
        <v>80</v>
      </c>
      <c r="D1435" t="s">
        <v>22</v>
      </c>
      <c r="E1435" t="s">
        <v>15</v>
      </c>
      <c r="F1435" t="s">
        <v>16</v>
      </c>
      <c r="G1435" t="s">
        <v>745</v>
      </c>
      <c r="H1435">
        <f>HYPERLINK("https://www.jouwictvacature.nl/solliciteren?job=senior-front-end-developer-bij-hostnet", "Link")</f>
        <v/>
      </c>
      <c r="I1435" t="s">
        <v>17</v>
      </c>
      <c r="J1435" t="s">
        <v>18</v>
      </c>
      <c r="K1435" t="s">
        <v>746</v>
      </c>
      <c r="L1435" t="s">
        <v>1371</v>
      </c>
    </row>
    <row hidden="1" r="1436" s="1" spans="1:12">
      <c r="A1436" s="4" t="n">
        <v>43137</v>
      </c>
      <c r="B1436" t="s">
        <v>493</v>
      </c>
      <c r="C1436" t="s">
        <v>72</v>
      </c>
      <c r="D1436" t="s">
        <v>245</v>
      </c>
      <c r="E1436" t="s">
        <v>15</v>
      </c>
      <c r="F1436" t="s">
        <v>16</v>
      </c>
      <c r="G1436" t="s">
        <v>493</v>
      </c>
      <c r="H1436">
        <f>HYPERLINK("https://www.jouwictvacature.nl/solliciteren?job=senior-web-developer-met-front-end-focus-bij-sumedia", "Link")</f>
        <v/>
      </c>
      <c r="I1436" t="s">
        <v>17</v>
      </c>
      <c r="J1436" t="s">
        <v>18</v>
      </c>
      <c r="K1436" t="s">
        <v>1605</v>
      </c>
      <c r="L1436" t="s">
        <v>1606</v>
      </c>
    </row>
    <row hidden="1" r="1437" s="1" spans="1:12">
      <c r="A1437" s="4" t="n">
        <v>43137</v>
      </c>
      <c r="B1437" t="s">
        <v>365</v>
      </c>
      <c r="C1437" t="s">
        <v>366</v>
      </c>
      <c r="D1437" t="s">
        <v>14</v>
      </c>
      <c r="E1437" t="s">
        <v>15</v>
      </c>
      <c r="F1437" t="s">
        <v>28</v>
      </c>
      <c r="G1437" t="s">
        <v>1981</v>
      </c>
      <c r="H1437">
        <f>HYPERLINK("https://www.jouwictvacature.nl/solliciteren?job=senior-technische-front-end-developer-bij-not-on-paper", "Link")</f>
        <v/>
      </c>
      <c r="I1437" t="s">
        <v>17</v>
      </c>
      <c r="J1437" t="s">
        <v>18</v>
      </c>
      <c r="K1437" t="s">
        <v>740</v>
      </c>
      <c r="L1437" t="s">
        <v>1982</v>
      </c>
    </row>
    <row r="1438" spans="1:12">
      <c r="A1438" s="4" t="n">
        <v>43137</v>
      </c>
      <c r="B1438" t="s">
        <v>49</v>
      </c>
      <c r="C1438" t="s">
        <v>50</v>
      </c>
      <c r="D1438" t="s">
        <v>22</v>
      </c>
      <c r="E1438" t="s">
        <v>51</v>
      </c>
      <c r="F1438" t="s">
        <v>28</v>
      </c>
      <c r="G1438" t="s">
        <v>58</v>
      </c>
      <c r="H1438">
        <f>HYPERLINK("https://www.jouwictvacature.nl/solliciteren?job=senior-allround-developer-bij-asamco-bv", "Link")</f>
        <v/>
      </c>
      <c r="I1438" t="s">
        <v>17</v>
      </c>
      <c r="J1438" t="s">
        <v>18</v>
      </c>
      <c r="K1438" t="s">
        <v>59</v>
      </c>
      <c r="L1438" t="s">
        <v>60</v>
      </c>
    </row>
    <row r="1439" spans="1:12">
      <c r="A1439" s="4" t="n">
        <v>43137</v>
      </c>
      <c r="B1439" t="s">
        <v>1095</v>
      </c>
      <c r="C1439" t="s">
        <v>76</v>
      </c>
      <c r="D1439" t="s">
        <v>245</v>
      </c>
      <c r="E1439" t="s">
        <v>51</v>
      </c>
      <c r="F1439" t="s">
        <v>16</v>
      </c>
      <c r="G1439" t="s">
        <v>1095</v>
      </c>
      <c r="H1439">
        <f>HYPERLINK("https://www.jouwictvacature.nl/solliciteren?job=medior-javascript-developer-superbuddy-angularnodejs-", "Link")</f>
        <v/>
      </c>
      <c r="I1439" t="s">
        <v>17</v>
      </c>
      <c r="J1439" t="s">
        <v>18</v>
      </c>
      <c r="K1439" t="s">
        <v>1096</v>
      </c>
      <c r="L1439" t="s">
        <v>1983</v>
      </c>
    </row>
    <row hidden="1" r="1440" s="1" spans="1:12">
      <c r="A1440" s="4" t="n">
        <v>43137</v>
      </c>
      <c r="B1440" t="s">
        <v>1251</v>
      </c>
      <c r="C1440" t="s">
        <v>1252</v>
      </c>
      <c r="D1440" t="s">
        <v>14</v>
      </c>
      <c r="E1440" t="s">
        <v>15</v>
      </c>
      <c r="F1440" t="s">
        <v>16</v>
      </c>
      <c r="G1440" t="s">
        <v>1251</v>
      </c>
      <c r="H1440">
        <f>HYPERLINK("https://www.jouwictvacature.nl/solliciteren?job=senior-back-end-developer-bij-indi-in-leek-2", "Link")</f>
        <v/>
      </c>
      <c r="I1440" t="s">
        <v>17</v>
      </c>
      <c r="J1440" t="s">
        <v>18</v>
      </c>
      <c r="K1440" t="s">
        <v>1278</v>
      </c>
      <c r="L1440" t="s">
        <v>1279</v>
      </c>
    </row>
    <row hidden="1" r="1441" s="1" spans="1:12">
      <c r="A1441" s="4" t="n">
        <v>43137</v>
      </c>
      <c r="B1441" t="s">
        <v>493</v>
      </c>
      <c r="C1441" t="s">
        <v>72</v>
      </c>
      <c r="D1441" t="s">
        <v>245</v>
      </c>
      <c r="E1441" t="s">
        <v>15</v>
      </c>
      <c r="F1441" t="s">
        <v>16</v>
      </c>
      <c r="G1441" t="s">
        <v>493</v>
      </c>
      <c r="H1441">
        <f>HYPERLINK("https://www.jouwictvacature.nl/solliciteren?job=web-developer-met-front-end-focus-bij-sumedia", "Link")</f>
        <v/>
      </c>
      <c r="I1441" t="s">
        <v>17</v>
      </c>
      <c r="J1441" t="s">
        <v>18</v>
      </c>
      <c r="K1441" t="s">
        <v>1605</v>
      </c>
      <c r="L1441" t="s">
        <v>1984</v>
      </c>
    </row>
    <row hidden="1" r="1442" s="1" spans="1:12">
      <c r="A1442" s="4" t="n">
        <v>43137</v>
      </c>
      <c r="B1442" t="s">
        <v>958</v>
      </c>
      <c r="C1442" t="s">
        <v>959</v>
      </c>
      <c r="D1442" t="s">
        <v>245</v>
      </c>
      <c r="E1442" t="s">
        <v>15</v>
      </c>
      <c r="F1442" t="s">
        <v>16</v>
      </c>
      <c r="G1442" t="s">
        <v>958</v>
      </c>
      <c r="H1442">
        <f>HYPERLINK("https://www.jouwictvacature.nl/solliciteren?job=front-end-developer-bij-codarts-hogeschool-voor-de-kunsten-2", "Link")</f>
        <v/>
      </c>
      <c r="I1442" t="s">
        <v>17</v>
      </c>
      <c r="J1442" t="s">
        <v>18</v>
      </c>
      <c r="K1442" t="s">
        <v>960</v>
      </c>
      <c r="L1442" t="s">
        <v>1985</v>
      </c>
    </row>
    <row hidden="1" r="1443" s="1" spans="1:12">
      <c r="A1443" s="4" t="n">
        <v>43147</v>
      </c>
      <c r="B1443" t="s">
        <v>442</v>
      </c>
      <c r="C1443" t="s">
        <v>13</v>
      </c>
      <c r="D1443" t="s">
        <v>245</v>
      </c>
      <c r="E1443" t="s">
        <v>15</v>
      </c>
      <c r="F1443" t="s">
        <v>34</v>
      </c>
      <c r="G1443" t="s">
        <v>1986</v>
      </c>
      <c r="H1443">
        <f>HYPERLINK("https://www.jouwictvacature.nl/solliciteren?job=junior-fullstack-software-ontwikkelaar-bij-simaxx", "Link")</f>
        <v/>
      </c>
      <c r="I1443" t="s">
        <v>17</v>
      </c>
      <c r="J1443" t="s">
        <v>18</v>
      </c>
      <c r="K1443" t="s">
        <v>444</v>
      </c>
      <c r="L1443" t="s">
        <v>1987</v>
      </c>
    </row>
    <row hidden="1" r="1444" s="1" spans="1:12">
      <c r="A1444" s="4" t="n">
        <v>43147</v>
      </c>
      <c r="B1444" t="s">
        <v>218</v>
      </c>
      <c r="C1444" t="s">
        <v>219</v>
      </c>
      <c r="D1444" t="s">
        <v>22</v>
      </c>
      <c r="E1444" t="s">
        <v>15</v>
      </c>
      <c r="F1444" t="s">
        <v>52</v>
      </c>
      <c r="G1444" t="s">
        <v>1988</v>
      </c>
      <c r="H1444">
        <f>HYPERLINK("https://www.jouwictvacature.nl/solliciteren?job=medior-full-stack-developer-bij-het-consultancyhuis-bij-het-consultanc", "Link")</f>
        <v/>
      </c>
      <c r="I1444" t="s">
        <v>17</v>
      </c>
      <c r="J1444" t="s">
        <v>18</v>
      </c>
      <c r="K1444" t="s">
        <v>1989</v>
      </c>
      <c r="L1444" t="s">
        <v>1990</v>
      </c>
    </row>
    <row hidden="1" r="1445" s="1" spans="1:12">
      <c r="A1445" s="4" t="n">
        <v>43147</v>
      </c>
      <c r="B1445" t="s">
        <v>450</v>
      </c>
      <c r="C1445" t="s">
        <v>451</v>
      </c>
      <c r="D1445" t="s">
        <v>245</v>
      </c>
      <c r="E1445" t="s">
        <v>15</v>
      </c>
      <c r="F1445" t="s">
        <v>28</v>
      </c>
      <c r="G1445" t="s">
        <v>452</v>
      </c>
      <c r="H1445">
        <f>HYPERLINK("https://www.jouwictvacature.nl/solliciteren?job=senior-javaweb-developer-bij-sofico-bij-sofico", "Link")</f>
        <v/>
      </c>
      <c r="I1445" t="s">
        <v>17</v>
      </c>
      <c r="J1445" t="s">
        <v>18</v>
      </c>
      <c r="K1445" t="s">
        <v>453</v>
      </c>
      <c r="L1445" t="s">
        <v>454</v>
      </c>
    </row>
    <row r="1446" spans="1:12">
      <c r="A1446" s="4" t="n">
        <v>43147</v>
      </c>
      <c r="B1446" t="s">
        <v>61</v>
      </c>
      <c r="C1446" t="s">
        <v>62</v>
      </c>
      <c r="D1446" t="s">
        <v>22</v>
      </c>
      <c r="E1446" t="s">
        <v>51</v>
      </c>
      <c r="F1446" t="s">
        <v>16</v>
      </c>
      <c r="G1446" t="s">
        <v>1991</v>
      </c>
      <c r="H1446">
        <f>HYPERLINK("https://www.jouwictvacature.nl/solliciteren?job=experienced-software-engineer-at-axual--java-scala-apache-kafka-spring", "Link")</f>
        <v/>
      </c>
      <c r="I1446" t="s">
        <v>17</v>
      </c>
      <c r="J1446" t="s">
        <v>18</v>
      </c>
      <c r="K1446" t="s">
        <v>64</v>
      </c>
      <c r="L1446" t="s">
        <v>1992</v>
      </c>
    </row>
    <row hidden="1" r="1447" s="1" spans="1:12">
      <c r="A1447" s="4" t="n">
        <v>43147</v>
      </c>
      <c r="B1447" t="s">
        <v>508</v>
      </c>
      <c r="C1447" t="s">
        <v>509</v>
      </c>
      <c r="D1447" t="s">
        <v>245</v>
      </c>
      <c r="E1447" t="s">
        <v>15</v>
      </c>
      <c r="F1447" t="s">
        <v>52</v>
      </c>
      <c r="G1447" t="s">
        <v>1641</v>
      </c>
      <c r="H1447">
        <f>HYPERLINK("https://www.jouwictvacature.nl/solliciteren?job=medior-software-developer--delphi-c-c-java-firebird-sql-interbase-", "Link")</f>
        <v/>
      </c>
      <c r="I1447" t="s">
        <v>17</v>
      </c>
      <c r="J1447" t="s">
        <v>18</v>
      </c>
      <c r="K1447" t="s">
        <v>1642</v>
      </c>
      <c r="L1447" t="s">
        <v>1643</v>
      </c>
    </row>
    <row hidden="1" r="1448" s="1" spans="1:12">
      <c r="A1448" s="4" t="n">
        <v>43147</v>
      </c>
      <c r="B1448" t="s">
        <v>1470</v>
      </c>
      <c r="C1448" t="s">
        <v>1471</v>
      </c>
      <c r="D1448" t="s">
        <v>22</v>
      </c>
      <c r="E1448" t="s">
        <v>15</v>
      </c>
      <c r="F1448" t="s">
        <v>16</v>
      </c>
      <c r="G1448" t="s">
        <v>1470</v>
      </c>
      <c r="H1448">
        <f>HYPERLINK("https://www.jouwictvacature.nl/solliciteren?job=java-engineer-2", "Link")</f>
        <v/>
      </c>
      <c r="I1448" t="s">
        <v>17</v>
      </c>
      <c r="J1448" t="s">
        <v>18</v>
      </c>
      <c r="K1448" t="s">
        <v>1472</v>
      </c>
      <c r="L1448" t="s">
        <v>1473</v>
      </c>
    </row>
    <row hidden="1" r="1449" s="1" spans="1:12">
      <c r="A1449" s="4" t="n">
        <v>43147</v>
      </c>
      <c r="B1449" t="s">
        <v>423</v>
      </c>
      <c r="C1449" t="s">
        <v>406</v>
      </c>
      <c r="D1449" t="s">
        <v>245</v>
      </c>
      <c r="E1449" t="s">
        <v>15</v>
      </c>
      <c r="F1449" t="s">
        <v>16</v>
      </c>
      <c r="G1449" t="s">
        <v>1993</v>
      </c>
      <c r="H1449">
        <f>HYPERLINK("https://www.jouwictvacature.nl/solliciteren?job=integratie-specialist", "Link")</f>
        <v/>
      </c>
      <c r="I1449" t="s">
        <v>17</v>
      </c>
      <c r="J1449" t="s">
        <v>18</v>
      </c>
      <c r="K1449" t="s">
        <v>1994</v>
      </c>
      <c r="L1449" t="s">
        <v>1995</v>
      </c>
    </row>
    <row r="1450" spans="1:12">
      <c r="A1450" s="4" t="n">
        <v>43147</v>
      </c>
      <c r="B1450" t="s">
        <v>156</v>
      </c>
      <c r="C1450" t="s">
        <v>157</v>
      </c>
      <c r="D1450" t="s">
        <v>22</v>
      </c>
      <c r="E1450" t="s">
        <v>51</v>
      </c>
      <c r="F1450" t="s">
        <v>16</v>
      </c>
      <c r="G1450" t="s">
        <v>161</v>
      </c>
      <c r="H1450">
        <f>HYPERLINK("https://www.jouwictvacature.nl/solliciteren?job=solution-architect", "Link")</f>
        <v/>
      </c>
      <c r="I1450" t="s">
        <v>17</v>
      </c>
      <c r="J1450" t="s">
        <v>18</v>
      </c>
      <c r="K1450" t="s">
        <v>162</v>
      </c>
      <c r="L1450" t="s">
        <v>1996</v>
      </c>
    </row>
    <row hidden="1" r="1451" s="1" spans="1:12">
      <c r="A1451" s="4" t="n">
        <v>43147</v>
      </c>
      <c r="B1451" t="s">
        <v>450</v>
      </c>
      <c r="C1451" t="s">
        <v>451</v>
      </c>
      <c r="D1451" t="s">
        <v>245</v>
      </c>
      <c r="E1451" t="s">
        <v>15</v>
      </c>
      <c r="F1451" t="s">
        <v>52</v>
      </c>
      <c r="G1451" t="s">
        <v>1960</v>
      </c>
      <c r="H1451">
        <f>HYPERLINK("https://www.jouwictvacature.nl/solliciteren?job=medior-javaweb-developer-bij-sofico-bij-sofico", "Link")</f>
        <v/>
      </c>
      <c r="I1451" t="s">
        <v>17</v>
      </c>
      <c r="J1451" t="s">
        <v>18</v>
      </c>
      <c r="K1451" t="s">
        <v>453</v>
      </c>
      <c r="L1451" t="s">
        <v>1961</v>
      </c>
    </row>
    <row hidden="1" r="1452" s="1" spans="1:12">
      <c r="A1452" s="4" t="n">
        <v>43147</v>
      </c>
      <c r="B1452" t="s">
        <v>1812</v>
      </c>
      <c r="C1452" t="s">
        <v>93</v>
      </c>
      <c r="D1452" t="s">
        <v>14</v>
      </c>
      <c r="E1452" t="s">
        <v>15</v>
      </c>
      <c r="F1452" t="s">
        <v>28</v>
      </c>
      <c r="G1452" t="s">
        <v>1997</v>
      </c>
      <c r="H1452">
        <f>HYPERLINK("https://www.jouwictvacature.nl/solliciteren?job=seniorjava-developer--spring-jsp-tomcat-en-apache", "Link")</f>
        <v/>
      </c>
      <c r="I1452" t="s">
        <v>17</v>
      </c>
      <c r="J1452" t="s">
        <v>18</v>
      </c>
      <c r="K1452" t="s">
        <v>1998</v>
      </c>
      <c r="L1452" t="s">
        <v>1999</v>
      </c>
    </row>
    <row hidden="1" r="1453" s="1" spans="1:12">
      <c r="A1453" s="4" t="n">
        <v>43147</v>
      </c>
      <c r="B1453" t="s">
        <v>574</v>
      </c>
      <c r="C1453" t="s">
        <v>575</v>
      </c>
      <c r="D1453" t="s">
        <v>245</v>
      </c>
      <c r="E1453" t="s">
        <v>15</v>
      </c>
      <c r="F1453" t="s">
        <v>16</v>
      </c>
      <c r="G1453" t="s">
        <v>574</v>
      </c>
      <c r="H1453">
        <f>HYPERLINK("https://www.jouwictvacature.nl/solliciteren?job=medior-xamarin-ontwikkelaar-bij-webbeat--2", "Link")</f>
        <v/>
      </c>
      <c r="I1453" t="s">
        <v>17</v>
      </c>
      <c r="J1453" t="s">
        <v>18</v>
      </c>
      <c r="K1453" t="s">
        <v>910</v>
      </c>
      <c r="L1453" t="s">
        <v>911</v>
      </c>
    </row>
    <row hidden="1" r="1454" s="1" spans="1:12">
      <c r="A1454" s="4" t="n">
        <v>43147</v>
      </c>
      <c r="B1454" t="s">
        <v>346</v>
      </c>
      <c r="C1454" t="s">
        <v>80</v>
      </c>
      <c r="D1454" t="s">
        <v>14</v>
      </c>
      <c r="E1454" t="s">
        <v>15</v>
      </c>
      <c r="F1454" t="s">
        <v>16</v>
      </c>
      <c r="G1454" t="s">
        <v>352</v>
      </c>
      <c r="H1454">
        <f>HYPERLINK("https://www.jouwictvacature.nl/solliciteren?job=ervaren-c-net-developer-bij-mwm2", "Link")</f>
        <v/>
      </c>
      <c r="I1454" t="s">
        <v>17</v>
      </c>
      <c r="J1454" t="s">
        <v>18</v>
      </c>
      <c r="K1454" t="s">
        <v>348</v>
      </c>
      <c r="L1454" t="s">
        <v>353</v>
      </c>
    </row>
    <row hidden="1" r="1455" s="1" spans="1:12">
      <c r="A1455" s="4" t="n">
        <v>43147</v>
      </c>
      <c r="B1455" t="s">
        <v>2000</v>
      </c>
      <c r="C1455" t="s">
        <v>38</v>
      </c>
      <c r="D1455" t="s">
        <v>245</v>
      </c>
      <c r="E1455" t="s">
        <v>15</v>
      </c>
      <c r="F1455" t="s">
        <v>52</v>
      </c>
      <c r="G1455" t="s">
        <v>2001</v>
      </c>
      <c r="H1455">
        <f>HYPERLINK("https://www.jouwictvacature.nl/solliciteren?job=net-engineer-bij-sogeti-5", "Link")</f>
        <v/>
      </c>
      <c r="I1455" t="s">
        <v>17</v>
      </c>
      <c r="J1455" t="s">
        <v>18</v>
      </c>
      <c r="K1455" t="s">
        <v>1130</v>
      </c>
      <c r="L1455" t="s">
        <v>2002</v>
      </c>
    </row>
    <row hidden="1" r="1456" s="1" spans="1:12">
      <c r="A1456" s="4" t="n">
        <v>43147</v>
      </c>
      <c r="B1456" t="s">
        <v>308</v>
      </c>
      <c r="C1456" t="s">
        <v>309</v>
      </c>
      <c r="D1456" t="s">
        <v>14</v>
      </c>
      <c r="E1456" t="s">
        <v>15</v>
      </c>
      <c r="F1456" t="s">
        <v>52</v>
      </c>
      <c r="G1456" t="s">
        <v>1522</v>
      </c>
      <c r="H1456">
        <f>HYPERLINK("https://www.jouwictvacature.nl/solliciteren?job=medior-cnet-developer-bij-marketgraph", "Link")</f>
        <v/>
      </c>
      <c r="I1456" t="s">
        <v>17</v>
      </c>
      <c r="J1456" t="s">
        <v>18</v>
      </c>
      <c r="K1456" t="s">
        <v>311</v>
      </c>
      <c r="L1456" t="s">
        <v>1523</v>
      </c>
    </row>
    <row hidden="1" r="1457" s="1" spans="1:12">
      <c r="A1457" s="4" t="n">
        <v>43147</v>
      </c>
      <c r="B1457" t="s">
        <v>382</v>
      </c>
      <c r="C1457" t="s">
        <v>274</v>
      </c>
      <c r="D1457" t="s">
        <v>14</v>
      </c>
      <c r="E1457" t="s">
        <v>15</v>
      </c>
      <c r="F1457" t="s">
        <v>16</v>
      </c>
      <c r="G1457" t="s">
        <v>382</v>
      </c>
      <c r="H1457">
        <f>HYPERLINK("https://www.jouwictvacature.nl/solliciteren?job=junior-software-ontwikkelaar-bij-ortec", "Link")</f>
        <v/>
      </c>
      <c r="I1457" t="s">
        <v>17</v>
      </c>
      <c r="J1457" t="s">
        <v>18</v>
      </c>
      <c r="K1457" t="s">
        <v>781</v>
      </c>
      <c r="L1457" t="s">
        <v>782</v>
      </c>
    </row>
    <row hidden="1" r="1458" s="1" spans="1:12">
      <c r="A1458" s="4" t="n">
        <v>43147</v>
      </c>
      <c r="B1458" t="s">
        <v>104</v>
      </c>
      <c r="C1458" t="s">
        <v>38</v>
      </c>
      <c r="D1458" t="s">
        <v>22</v>
      </c>
      <c r="E1458" t="s">
        <v>15</v>
      </c>
      <c r="F1458" t="s">
        <v>16</v>
      </c>
      <c r="G1458" t="s">
        <v>104</v>
      </c>
      <c r="H1458">
        <f>HYPERLINK("https://www.jouwictvacature.nl/solliciteren?job=junior-softwareontwikkelaar-bij-betabit-regio-eindhoven", "Link")</f>
        <v/>
      </c>
      <c r="I1458" t="s">
        <v>17</v>
      </c>
      <c r="J1458" t="s">
        <v>18</v>
      </c>
      <c r="K1458" t="s">
        <v>783</v>
      </c>
      <c r="L1458" t="s">
        <v>1838</v>
      </c>
    </row>
    <row hidden="1" r="1459" s="1" spans="1:12">
      <c r="A1459" s="4" t="n">
        <v>43147</v>
      </c>
      <c r="B1459" t="s">
        <v>2000</v>
      </c>
      <c r="C1459" t="s">
        <v>456</v>
      </c>
      <c r="D1459" t="s">
        <v>245</v>
      </c>
      <c r="E1459" t="s">
        <v>15</v>
      </c>
      <c r="F1459" t="s">
        <v>52</v>
      </c>
      <c r="G1459" t="s">
        <v>859</v>
      </c>
      <c r="H1459">
        <f>HYPERLINK("https://www.jouwictvacature.nl/solliciteren?job=net-engineer-bij-sogeti", "Link")</f>
        <v/>
      </c>
      <c r="I1459" t="s">
        <v>17</v>
      </c>
      <c r="J1459" t="s">
        <v>18</v>
      </c>
      <c r="K1459" t="s">
        <v>466</v>
      </c>
      <c r="L1459" t="s">
        <v>860</v>
      </c>
    </row>
    <row hidden="1" r="1460" s="1" spans="1:12">
      <c r="A1460" s="4" t="n">
        <v>43147</v>
      </c>
      <c r="B1460" t="s">
        <v>701</v>
      </c>
      <c r="C1460" t="s">
        <v>702</v>
      </c>
      <c r="D1460" t="s">
        <v>22</v>
      </c>
      <c r="E1460" t="s">
        <v>15</v>
      </c>
      <c r="F1460" t="s">
        <v>28</v>
      </c>
      <c r="G1460" t="s">
        <v>1588</v>
      </c>
      <c r="H1460">
        <f>HYPERLINK("https://www.jouwictvacature.nl/solliciteren?job=senior-aspnetc-ontwikkelaar", "Link")</f>
        <v/>
      </c>
      <c r="I1460" t="s">
        <v>17</v>
      </c>
      <c r="J1460" t="s">
        <v>18</v>
      </c>
      <c r="K1460" t="s">
        <v>704</v>
      </c>
      <c r="L1460" t="s">
        <v>1589</v>
      </c>
    </row>
    <row hidden="1" r="1461" s="1" spans="1:12">
      <c r="A1461" s="4" t="n">
        <v>43147</v>
      </c>
      <c r="B1461" t="s">
        <v>251</v>
      </c>
      <c r="C1461" t="s">
        <v>80</v>
      </c>
      <c r="D1461" t="s">
        <v>14</v>
      </c>
      <c r="E1461" t="s">
        <v>15</v>
      </c>
      <c r="F1461" t="s">
        <v>16</v>
      </c>
      <c r="G1461" t="s">
        <v>2003</v>
      </c>
      <c r="H1461">
        <f>HYPERLINK("https://www.jouwictvacature.nl/solliciteren?job=senior-enof-lead-net-developer-bij-icatt-in-hartje-amsterdam-2", "Link")</f>
        <v/>
      </c>
      <c r="I1461" t="s">
        <v>17</v>
      </c>
      <c r="J1461" t="s">
        <v>18</v>
      </c>
      <c r="K1461" t="s">
        <v>624</v>
      </c>
      <c r="L1461" t="s">
        <v>625</v>
      </c>
    </row>
    <row hidden="1" r="1462" s="1" spans="1:12">
      <c r="A1462" s="4" t="n">
        <v>43147</v>
      </c>
      <c r="B1462" t="s">
        <v>109</v>
      </c>
      <c r="C1462" t="s">
        <v>80</v>
      </c>
      <c r="D1462" t="s">
        <v>22</v>
      </c>
      <c r="E1462" t="s">
        <v>15</v>
      </c>
      <c r="F1462" t="s">
        <v>16</v>
      </c>
      <c r="G1462" t="s">
        <v>109</v>
      </c>
      <c r="H1462">
        <f>HYPERLINK("https://www.jouwictvacature.nl/solliciteren?job=senior-net-developer-met-communicatieve-vaardigheden", "Link")</f>
        <v/>
      </c>
      <c r="I1462" t="s">
        <v>17</v>
      </c>
      <c r="J1462" t="s">
        <v>18</v>
      </c>
      <c r="K1462" t="s">
        <v>110</v>
      </c>
      <c r="L1462" t="s">
        <v>700</v>
      </c>
    </row>
    <row hidden="1" r="1463" s="1" spans="1:12">
      <c r="A1463" s="4" t="n">
        <v>43147</v>
      </c>
      <c r="B1463" t="s">
        <v>493</v>
      </c>
      <c r="C1463" t="s">
        <v>72</v>
      </c>
      <c r="D1463" t="s">
        <v>245</v>
      </c>
      <c r="E1463" t="s">
        <v>15</v>
      </c>
      <c r="F1463" t="s">
        <v>16</v>
      </c>
      <c r="G1463" t="s">
        <v>1597</v>
      </c>
      <c r="H1463">
        <f>HYPERLINK("https://www.jouwictvacature.nl/solliciteren?job=magento-developer-met-ambitie", "Link")</f>
        <v/>
      </c>
      <c r="I1463" t="s">
        <v>17</v>
      </c>
      <c r="J1463" t="s">
        <v>18</v>
      </c>
      <c r="K1463" t="s">
        <v>495</v>
      </c>
      <c r="L1463" t="s">
        <v>1598</v>
      </c>
    </row>
    <row hidden="1" r="1464" s="1" spans="1:12">
      <c r="A1464" s="4" t="n">
        <v>43147</v>
      </c>
      <c r="B1464" t="s">
        <v>2004</v>
      </c>
      <c r="C1464" t="s">
        <v>1670</v>
      </c>
      <c r="D1464" t="s">
        <v>245</v>
      </c>
      <c r="E1464" t="s">
        <v>15</v>
      </c>
      <c r="F1464" t="s">
        <v>52</v>
      </c>
      <c r="G1464" t="s">
        <v>594</v>
      </c>
      <c r="H1464">
        <f>HYPERLINK("https://www.jouwictvacature.nl/solliciteren?job=medior-fullstack-developer-2", "Link")</f>
        <v/>
      </c>
      <c r="I1464" t="s">
        <v>17</v>
      </c>
      <c r="J1464" t="s">
        <v>18</v>
      </c>
      <c r="K1464" t="s">
        <v>2005</v>
      </c>
      <c r="L1464" t="s">
        <v>2006</v>
      </c>
    </row>
    <row r="1465" spans="1:12">
      <c r="A1465" s="4" t="n">
        <v>43147</v>
      </c>
      <c r="B1465" t="s">
        <v>889</v>
      </c>
      <c r="C1465" t="s">
        <v>80</v>
      </c>
      <c r="D1465" t="s">
        <v>14</v>
      </c>
      <c r="E1465" t="s">
        <v>51</v>
      </c>
      <c r="F1465" t="s">
        <v>52</v>
      </c>
      <c r="G1465" t="s">
        <v>1299</v>
      </c>
      <c r="H1465">
        <f>HYPERLINK("https://www.jouwictvacature.nl/solliciteren?job=mediorphp-developer-bij-lightspeed-bij-lightspeed", "Link")</f>
        <v/>
      </c>
      <c r="I1465" t="s">
        <v>17</v>
      </c>
      <c r="J1465" t="s">
        <v>18</v>
      </c>
      <c r="K1465" t="s">
        <v>891</v>
      </c>
      <c r="L1465" t="s">
        <v>1300</v>
      </c>
    </row>
    <row hidden="1" r="1466" s="1" spans="1:12">
      <c r="A1466" s="4" t="n">
        <v>43147</v>
      </c>
      <c r="B1466" t="s">
        <v>1760</v>
      </c>
      <c r="C1466" t="s">
        <v>62</v>
      </c>
      <c r="D1466" t="s">
        <v>245</v>
      </c>
      <c r="E1466" t="s">
        <v>15</v>
      </c>
      <c r="F1466" t="s">
        <v>16</v>
      </c>
      <c r="G1466" t="s">
        <v>1760</v>
      </c>
      <c r="H1466">
        <f>HYPERLINK("https://www.jouwictvacature.nl/solliciteren?job=senior-wordpress-developer-bij-zeo", "Link")</f>
        <v/>
      </c>
      <c r="I1466" t="s">
        <v>17</v>
      </c>
      <c r="J1466" t="s">
        <v>18</v>
      </c>
      <c r="K1466" t="s">
        <v>1761</v>
      </c>
      <c r="L1466" t="s">
        <v>2007</v>
      </c>
    </row>
    <row r="1467" spans="1:12">
      <c r="A1467" s="4" t="n">
        <v>43147</v>
      </c>
      <c r="B1467" t="s">
        <v>2004</v>
      </c>
      <c r="C1467" t="s">
        <v>1670</v>
      </c>
      <c r="D1467" t="s">
        <v>245</v>
      </c>
      <c r="E1467" t="s">
        <v>51</v>
      </c>
      <c r="F1467" t="s">
        <v>52</v>
      </c>
      <c r="G1467" t="s">
        <v>2008</v>
      </c>
      <c r="H1467">
        <f>HYPERLINK("https://www.jouwictvacature.nl/solliciteren?job=medior-fullstack-developer-english-bij-the-people-group", "Link")</f>
        <v/>
      </c>
      <c r="I1467" t="s">
        <v>17</v>
      </c>
      <c r="J1467" t="s">
        <v>18</v>
      </c>
      <c r="K1467" t="s">
        <v>2009</v>
      </c>
      <c r="L1467" t="s">
        <v>2010</v>
      </c>
    </row>
    <row hidden="1" r="1468" s="1" spans="1:12">
      <c r="A1468" s="4" t="n">
        <v>43147</v>
      </c>
      <c r="B1468" t="s">
        <v>317</v>
      </c>
      <c r="C1468" t="s">
        <v>45</v>
      </c>
      <c r="D1468" t="s">
        <v>14</v>
      </c>
      <c r="E1468" t="s">
        <v>15</v>
      </c>
      <c r="F1468" t="s">
        <v>34</v>
      </c>
      <c r="G1468" t="s">
        <v>2011</v>
      </c>
      <c r="H1468">
        <f>HYPERLINK("https://www.jouwictvacature.nl/solliciteren?job=junior-full-stack-developer-bij-maximumnl", "Link")</f>
        <v/>
      </c>
      <c r="I1468" t="s">
        <v>17</v>
      </c>
      <c r="J1468" t="s">
        <v>18</v>
      </c>
      <c r="K1468" t="s">
        <v>2012</v>
      </c>
      <c r="L1468" t="s">
        <v>2013</v>
      </c>
    </row>
    <row hidden="1" r="1469" s="1" spans="1:12">
      <c r="A1469" s="4" t="n">
        <v>43147</v>
      </c>
      <c r="B1469" t="s">
        <v>881</v>
      </c>
      <c r="C1469" t="s">
        <v>428</v>
      </c>
      <c r="D1469" t="s">
        <v>22</v>
      </c>
      <c r="E1469" t="s">
        <v>15</v>
      </c>
      <c r="F1469" t="s">
        <v>28</v>
      </c>
      <c r="G1469" t="s">
        <v>882</v>
      </c>
      <c r="H1469">
        <f>HYPERLINK("https://www.jouwictvacature.nl/solliciteren?job=senior-laravel-php-developer-bij-cepo", "Link")</f>
        <v/>
      </c>
      <c r="I1469" t="s">
        <v>17</v>
      </c>
      <c r="J1469" t="s">
        <v>18</v>
      </c>
      <c r="K1469" t="s">
        <v>883</v>
      </c>
      <c r="L1469" t="s">
        <v>884</v>
      </c>
    </row>
    <row hidden="1" r="1470" s="1" spans="1:12">
      <c r="A1470" s="4" t="n">
        <v>43147</v>
      </c>
      <c r="B1470" t="s">
        <v>278</v>
      </c>
      <c r="C1470" t="s">
        <v>279</v>
      </c>
      <c r="D1470" t="s">
        <v>14</v>
      </c>
      <c r="E1470" t="s">
        <v>15</v>
      </c>
      <c r="F1470" t="s">
        <v>16</v>
      </c>
      <c r="G1470" t="s">
        <v>280</v>
      </c>
      <c r="H1470">
        <f>HYPERLINK("https://www.jouwictvacature.nl/solliciteren?job=php--laravel-developer-bij-topwerkgever-", "Link")</f>
        <v/>
      </c>
      <c r="I1470" t="s">
        <v>17</v>
      </c>
      <c r="J1470" t="s">
        <v>18</v>
      </c>
      <c r="K1470" t="s">
        <v>281</v>
      </c>
      <c r="L1470" t="s">
        <v>282</v>
      </c>
    </row>
    <row hidden="1" r="1471" s="1" spans="1:12">
      <c r="A1471" s="4" t="n">
        <v>43147</v>
      </c>
      <c r="B1471" t="s">
        <v>881</v>
      </c>
      <c r="C1471" t="s">
        <v>428</v>
      </c>
      <c r="D1471" t="s">
        <v>22</v>
      </c>
      <c r="E1471" t="s">
        <v>15</v>
      </c>
      <c r="F1471" t="s">
        <v>34</v>
      </c>
      <c r="G1471" t="s">
        <v>2014</v>
      </c>
      <c r="H1471">
        <f>HYPERLINK("https://www.jouwictvacature.nl/solliciteren?job=junior-php-developer-bij-cepo", "Link")</f>
        <v/>
      </c>
      <c r="I1471" t="s">
        <v>17</v>
      </c>
      <c r="J1471" t="s">
        <v>18</v>
      </c>
      <c r="K1471" t="s">
        <v>883</v>
      </c>
      <c r="L1471" t="s">
        <v>2015</v>
      </c>
    </row>
    <row hidden="1" r="1472" s="1" spans="1:12">
      <c r="A1472" s="4" t="n">
        <v>43147</v>
      </c>
      <c r="B1472" t="s">
        <v>2016</v>
      </c>
      <c r="C1472" t="s">
        <v>2017</v>
      </c>
      <c r="D1472" t="s">
        <v>22</v>
      </c>
      <c r="E1472" t="s">
        <v>15</v>
      </c>
      <c r="F1472" t="s">
        <v>52</v>
      </c>
      <c r="G1472" t="s">
        <v>2018</v>
      </c>
      <c r="H1472">
        <f>HYPERLINK("https://www.jouwictvacature.nl/solliciteren?job=medior-php-developer-bij-connection-systems-bij-connection-systems", "Link")</f>
        <v/>
      </c>
      <c r="I1472" t="s">
        <v>17</v>
      </c>
      <c r="J1472" t="s">
        <v>18</v>
      </c>
      <c r="K1472" t="s">
        <v>2019</v>
      </c>
      <c r="L1472" t="s">
        <v>2020</v>
      </c>
    </row>
    <row hidden="1" r="1473" s="1" spans="1:12">
      <c r="A1473" s="4" t="n">
        <v>43147</v>
      </c>
      <c r="B1473" t="s">
        <v>2021</v>
      </c>
      <c r="C1473" t="s">
        <v>2022</v>
      </c>
      <c r="D1473" t="s">
        <v>22</v>
      </c>
      <c r="E1473" t="s">
        <v>15</v>
      </c>
      <c r="F1473" t="s">
        <v>28</v>
      </c>
      <c r="G1473" t="s">
        <v>2023</v>
      </c>
      <c r="H1473">
        <f>HYPERLINK("https://www.jouwictvacature.nl/solliciteren?job=senior-front-end-developer-bij-directlease-bij-directlease", "Link")</f>
        <v/>
      </c>
      <c r="I1473" t="s">
        <v>17</v>
      </c>
      <c r="J1473" t="s">
        <v>18</v>
      </c>
      <c r="K1473" t="s">
        <v>2024</v>
      </c>
      <c r="L1473" t="s">
        <v>2025</v>
      </c>
    </row>
    <row hidden="1" r="1474" s="1" spans="1:12">
      <c r="A1474" s="4" t="n">
        <v>43147</v>
      </c>
      <c r="B1474" t="s">
        <v>1036</v>
      </c>
      <c r="C1474" t="s">
        <v>93</v>
      </c>
      <c r="D1474" t="s">
        <v>14</v>
      </c>
      <c r="E1474" t="s">
        <v>15</v>
      </c>
      <c r="F1474" t="s">
        <v>16</v>
      </c>
      <c r="G1474" t="s">
        <v>2026</v>
      </c>
      <c r="H1474">
        <f>HYPERLINK("https://www.jouwictvacature.nl/solliciteren?job=ervaren-angularjs-developer-", "Link")</f>
        <v/>
      </c>
      <c r="I1474" t="s">
        <v>17</v>
      </c>
      <c r="J1474" t="s">
        <v>18</v>
      </c>
      <c r="K1474" t="s">
        <v>1039</v>
      </c>
      <c r="L1474" t="s">
        <v>2027</v>
      </c>
    </row>
    <row hidden="1" r="1475" s="1" spans="1:12">
      <c r="A1475" s="4" t="n">
        <v>43147</v>
      </c>
      <c r="B1475" t="s">
        <v>287</v>
      </c>
      <c r="C1475" t="s">
        <v>279</v>
      </c>
      <c r="D1475" t="s">
        <v>14</v>
      </c>
      <c r="E1475" t="s">
        <v>15</v>
      </c>
      <c r="F1475" t="s">
        <v>16</v>
      </c>
      <c r="G1475" t="s">
        <v>827</v>
      </c>
      <c r="H1475">
        <f>HYPERLINK("https://www.jouwictvacature.nl/solliciteren?job=word-jij-onze-nieuwe-senior-front-end-development-hero-", "Link")</f>
        <v/>
      </c>
      <c r="I1475" t="s">
        <v>17</v>
      </c>
      <c r="J1475" t="s">
        <v>18</v>
      </c>
      <c r="K1475" t="s">
        <v>289</v>
      </c>
      <c r="L1475" t="s">
        <v>828</v>
      </c>
    </row>
    <row hidden="1" r="1476" s="1" spans="1:12">
      <c r="A1476" s="4" t="n">
        <v>43147</v>
      </c>
      <c r="B1476" t="s">
        <v>419</v>
      </c>
      <c r="C1476" t="s">
        <v>333</v>
      </c>
      <c r="D1476" t="s">
        <v>245</v>
      </c>
      <c r="E1476" t="s">
        <v>15</v>
      </c>
      <c r="F1476" t="s">
        <v>34</v>
      </c>
      <c r="G1476" t="s">
        <v>420</v>
      </c>
      <c r="H1476">
        <f>HYPERLINK("https://www.jouwictvacature.nl/solliciteren?job=junior-animation-developer-bij-qban", "Link")</f>
        <v/>
      </c>
      <c r="I1476" t="s">
        <v>17</v>
      </c>
      <c r="J1476" t="s">
        <v>18</v>
      </c>
      <c r="K1476" t="s">
        <v>421</v>
      </c>
      <c r="L1476" t="s">
        <v>422</v>
      </c>
    </row>
    <row hidden="1" r="1477" s="1" spans="1:12">
      <c r="A1477" s="4" t="n">
        <v>43147</v>
      </c>
      <c r="B1477" t="s">
        <v>136</v>
      </c>
      <c r="C1477" t="s">
        <v>137</v>
      </c>
      <c r="D1477" t="s">
        <v>22</v>
      </c>
      <c r="E1477" t="s">
        <v>15</v>
      </c>
      <c r="F1477" t="s">
        <v>16</v>
      </c>
      <c r="G1477" t="s">
        <v>138</v>
      </c>
      <c r="H1477">
        <f>HYPERLINK("https://www.jouwictvacature.nl/solliciteren?job=java-software-developer-bij-cgi", "Link")</f>
        <v/>
      </c>
      <c r="I1477" t="s">
        <v>17</v>
      </c>
      <c r="J1477" t="s">
        <v>18</v>
      </c>
      <c r="K1477" t="s">
        <v>139</v>
      </c>
      <c r="L1477" t="s">
        <v>140</v>
      </c>
    </row>
    <row hidden="1" r="1478" s="1" spans="1:12">
      <c r="A1478" s="4" t="n">
        <v>43147</v>
      </c>
      <c r="B1478" t="s">
        <v>419</v>
      </c>
      <c r="C1478" t="s">
        <v>333</v>
      </c>
      <c r="D1478" t="s">
        <v>245</v>
      </c>
      <c r="E1478" t="s">
        <v>15</v>
      </c>
      <c r="F1478" t="s">
        <v>52</v>
      </c>
      <c r="G1478" t="s">
        <v>2028</v>
      </c>
      <c r="H1478">
        <f>HYPERLINK("https://www.jouwictvacature.nl/solliciteren?job=medior-animation-developer-bij-qban", "Link")</f>
        <v/>
      </c>
      <c r="I1478" t="s">
        <v>17</v>
      </c>
      <c r="J1478" t="s">
        <v>18</v>
      </c>
      <c r="K1478" t="s">
        <v>421</v>
      </c>
      <c r="L1478" t="s">
        <v>2029</v>
      </c>
    </row>
    <row hidden="1" r="1479" s="1" spans="1:12">
      <c r="A1479" s="4" t="n">
        <v>43147</v>
      </c>
      <c r="B1479" t="s">
        <v>2030</v>
      </c>
      <c r="C1479" t="s">
        <v>1027</v>
      </c>
      <c r="D1479" t="s">
        <v>245</v>
      </c>
      <c r="E1479" t="s">
        <v>15</v>
      </c>
      <c r="F1479" t="s">
        <v>34</v>
      </c>
      <c r="G1479" t="s">
        <v>2031</v>
      </c>
      <c r="H1479">
        <f>HYPERLINK("https://www.jouwictvacature.nl/solliciteren?job=junior-front-end-developer-bij-werk-aan-de-muur", "Link")</f>
        <v/>
      </c>
      <c r="I1479" t="s">
        <v>17</v>
      </c>
      <c r="J1479" t="s">
        <v>18</v>
      </c>
      <c r="K1479" t="s">
        <v>2032</v>
      </c>
      <c r="L1479" t="s">
        <v>2033</v>
      </c>
    </row>
    <row hidden="1" r="1480" s="1" spans="1:12">
      <c r="A1480" s="4" t="n">
        <v>43147</v>
      </c>
      <c r="B1480" t="s">
        <v>26</v>
      </c>
      <c r="C1480" t="s">
        <v>660</v>
      </c>
      <c r="D1480" t="s">
        <v>22</v>
      </c>
      <c r="E1480" t="s">
        <v>15</v>
      </c>
      <c r="F1480" t="s">
        <v>28</v>
      </c>
      <c r="G1480" t="s">
        <v>375</v>
      </c>
      <c r="H1480">
        <f>HYPERLINK("https://www.jouwictvacature.nl/solliciteren?job=senior-fullstack-developer-bij-aan-zee-communicatie", "Link")</f>
        <v/>
      </c>
      <c r="I1480" t="s">
        <v>17</v>
      </c>
      <c r="J1480" t="s">
        <v>18</v>
      </c>
      <c r="K1480" t="s">
        <v>662</v>
      </c>
      <c r="L1480" t="s">
        <v>962</v>
      </c>
    </row>
    <row hidden="1" r="1481" s="1" spans="1:12">
      <c r="A1481" s="4" t="n">
        <v>43147</v>
      </c>
      <c r="B1481" t="s">
        <v>317</v>
      </c>
      <c r="C1481" t="s">
        <v>45</v>
      </c>
      <c r="D1481" t="s">
        <v>14</v>
      </c>
      <c r="E1481" t="s">
        <v>15</v>
      </c>
      <c r="F1481" t="s">
        <v>28</v>
      </c>
      <c r="G1481" t="s">
        <v>39</v>
      </c>
      <c r="H1481">
        <f>HYPERLINK("https://www.jouwictvacature.nl/solliciteren?job=senior-front-end-developer-bij-maximumnl", "Link")</f>
        <v/>
      </c>
      <c r="I1481" t="s">
        <v>17</v>
      </c>
      <c r="J1481" t="s">
        <v>18</v>
      </c>
      <c r="K1481" t="s">
        <v>319</v>
      </c>
      <c r="L1481" t="s">
        <v>1628</v>
      </c>
    </row>
    <row hidden="1" r="1482" s="1" spans="1:12">
      <c r="A1482" s="4" t="n">
        <v>43147</v>
      </c>
      <c r="B1482" t="s">
        <v>529</v>
      </c>
      <c r="C1482" t="s">
        <v>76</v>
      </c>
      <c r="D1482" t="s">
        <v>245</v>
      </c>
      <c r="E1482" t="s">
        <v>15</v>
      </c>
      <c r="F1482" t="s">
        <v>16</v>
      </c>
      <c r="G1482" t="s">
        <v>529</v>
      </c>
      <c r="H1482">
        <f>HYPERLINK("https://www.jouwictvacature.nl/solliciteren?job=senior-frontend-developer-javascript-bij-tradecast", "Link")</f>
        <v/>
      </c>
      <c r="I1482" t="s">
        <v>17</v>
      </c>
      <c r="J1482" t="s">
        <v>18</v>
      </c>
      <c r="K1482" t="s">
        <v>1668</v>
      </c>
      <c r="L1482" t="s">
        <v>1806</v>
      </c>
    </row>
    <row hidden="1" r="1483" s="1" spans="1:12">
      <c r="A1483" s="4" t="n">
        <v>43147</v>
      </c>
      <c r="B1483" t="s">
        <v>1470</v>
      </c>
      <c r="C1483" t="s">
        <v>1471</v>
      </c>
      <c r="D1483" t="s">
        <v>22</v>
      </c>
      <c r="E1483" t="s">
        <v>15</v>
      </c>
      <c r="F1483" t="s">
        <v>16</v>
      </c>
      <c r="G1483" t="s">
        <v>1470</v>
      </c>
      <c r="H1483">
        <f>HYPERLINK("https://www.jouwictvacature.nl/solliciteren?job=java-engineer-2", "Link")</f>
        <v/>
      </c>
      <c r="I1483" t="s">
        <v>17</v>
      </c>
      <c r="J1483" t="s">
        <v>18</v>
      </c>
      <c r="K1483" t="s">
        <v>1472</v>
      </c>
      <c r="L1483" t="s">
        <v>1473</v>
      </c>
    </row>
    <row hidden="1" r="1484" s="1" spans="1:12">
      <c r="A1484" s="4" t="n">
        <v>43147</v>
      </c>
      <c r="B1484" t="s">
        <v>442</v>
      </c>
      <c r="C1484" t="s">
        <v>13</v>
      </c>
      <c r="D1484" t="s">
        <v>245</v>
      </c>
      <c r="E1484" t="s">
        <v>15</v>
      </c>
      <c r="F1484" t="s">
        <v>28</v>
      </c>
      <c r="G1484" t="s">
        <v>601</v>
      </c>
      <c r="H1484">
        <f>HYPERLINK("https://www.jouwictvacature.nl/solliciteren?job=senior-fullstack-software-ontwikkelaar--java-javascript-angular2-sprin", "Link")</f>
        <v/>
      </c>
      <c r="I1484" t="s">
        <v>17</v>
      </c>
      <c r="J1484" t="s">
        <v>18</v>
      </c>
      <c r="K1484" t="s">
        <v>444</v>
      </c>
      <c r="L1484" t="s">
        <v>602</v>
      </c>
    </row>
    <row hidden="1" r="1485" s="1" spans="1:12">
      <c r="A1485" s="4" t="n">
        <v>43147</v>
      </c>
      <c r="B1485" t="s">
        <v>833</v>
      </c>
      <c r="C1485" t="s">
        <v>834</v>
      </c>
      <c r="D1485" t="s">
        <v>22</v>
      </c>
      <c r="E1485" t="s">
        <v>15</v>
      </c>
      <c r="F1485" t="s">
        <v>16</v>
      </c>
      <c r="G1485" t="s">
        <v>2034</v>
      </c>
      <c r="H1485">
        <f>HYPERLINK("https://www.jouwictvacature.nl/solliciteren?job=inhouse-java-developer-in-rijswijk", "Link")</f>
        <v/>
      </c>
      <c r="I1485" t="s">
        <v>17</v>
      </c>
      <c r="J1485" t="s">
        <v>18</v>
      </c>
      <c r="K1485" t="s">
        <v>2035</v>
      </c>
      <c r="L1485" t="s">
        <v>2036</v>
      </c>
    </row>
    <row r="1486" spans="1:12">
      <c r="A1486" s="4" t="n">
        <v>43147</v>
      </c>
      <c r="B1486" t="s">
        <v>2037</v>
      </c>
      <c r="C1486" t="s">
        <v>62</v>
      </c>
      <c r="D1486" t="s">
        <v>22</v>
      </c>
      <c r="E1486" t="s">
        <v>51</v>
      </c>
      <c r="F1486" t="s">
        <v>16</v>
      </c>
      <c r="G1486" t="s">
        <v>2037</v>
      </c>
      <c r="H1486">
        <f>HYPERLINK("https://www.jouwictvacature.nl/solliciteren?job=traineeship-bij-educom-bij-educom", "Link")</f>
        <v/>
      </c>
      <c r="I1486" t="s">
        <v>17</v>
      </c>
      <c r="J1486" t="s">
        <v>18</v>
      </c>
      <c r="K1486" t="s">
        <v>2038</v>
      </c>
      <c r="L1486" t="s">
        <v>2039</v>
      </c>
    </row>
    <row r="1487" spans="1:12">
      <c r="A1487" s="4" t="n">
        <v>43147</v>
      </c>
      <c r="B1487" t="s">
        <v>2040</v>
      </c>
      <c r="C1487" t="s">
        <v>2041</v>
      </c>
      <c r="D1487" t="s">
        <v>22</v>
      </c>
      <c r="E1487" t="s">
        <v>51</v>
      </c>
      <c r="F1487" t="s">
        <v>52</v>
      </c>
      <c r="G1487" t="s">
        <v>2042</v>
      </c>
      <c r="H1487">
        <f>HYPERLINK("https://www.jouwictvacature.nl/solliciteren?job=medior-developer-in-amsterdam--java-rdbms-postgresql-jboss-hibernate-b", "Link")</f>
        <v/>
      </c>
      <c r="I1487" t="s">
        <v>17</v>
      </c>
      <c r="J1487" t="s">
        <v>18</v>
      </c>
      <c r="K1487" t="s">
        <v>2043</v>
      </c>
      <c r="L1487" t="s">
        <v>2044</v>
      </c>
    </row>
    <row hidden="1" r="1488" s="1" spans="1:12">
      <c r="A1488" s="4" t="n">
        <v>43147</v>
      </c>
      <c r="B1488" t="s">
        <v>71</v>
      </c>
      <c r="C1488" t="s">
        <v>38</v>
      </c>
      <c r="D1488" t="s">
        <v>22</v>
      </c>
      <c r="E1488" t="s">
        <v>15</v>
      </c>
      <c r="F1488" t="s">
        <v>34</v>
      </c>
      <c r="G1488" t="s">
        <v>1382</v>
      </c>
      <c r="H1488">
        <f>HYPERLINK("https://www.jouwictvacature.nl/solliciteren?job=junior-testanalist-bij-bartosz-bij-bartosz-eindhoven", "Link")</f>
        <v/>
      </c>
      <c r="I1488" t="s">
        <v>17</v>
      </c>
      <c r="J1488" t="s">
        <v>18</v>
      </c>
      <c r="K1488" t="s">
        <v>95</v>
      </c>
      <c r="L1488" t="s">
        <v>1383</v>
      </c>
    </row>
    <row hidden="1" r="1489" s="1" spans="1:12">
      <c r="A1489" s="4" t="n">
        <v>43147</v>
      </c>
      <c r="B1489" t="s">
        <v>115</v>
      </c>
      <c r="C1489" t="s">
        <v>62</v>
      </c>
      <c r="D1489" t="s">
        <v>22</v>
      </c>
      <c r="E1489" t="s">
        <v>15</v>
      </c>
      <c r="F1489" t="s">
        <v>16</v>
      </c>
      <c r="G1489" t="s">
        <v>120</v>
      </c>
      <c r="H1489">
        <f>HYPERLINK("https://www.jouwictvacature.nl/solliciteren?job=werken-in-een-oude-utrechtse-watertoren-als-junior-java-developer-bij-", "Link")</f>
        <v/>
      </c>
      <c r="I1489" t="s">
        <v>17</v>
      </c>
      <c r="J1489" t="s">
        <v>18</v>
      </c>
      <c r="K1489" t="s">
        <v>121</v>
      </c>
      <c r="L1489" t="s">
        <v>122</v>
      </c>
    </row>
    <row hidden="1" r="1490" s="1" spans="1:12">
      <c r="A1490" s="4" t="n">
        <v>43147</v>
      </c>
      <c r="B1490" t="s">
        <v>497</v>
      </c>
      <c r="C1490" t="s">
        <v>498</v>
      </c>
      <c r="D1490" t="s">
        <v>245</v>
      </c>
      <c r="E1490" t="s">
        <v>15</v>
      </c>
      <c r="F1490" t="s">
        <v>28</v>
      </c>
      <c r="G1490" t="s">
        <v>504</v>
      </c>
      <c r="H1490">
        <f>HYPERLINK("https://www.jouwictvacature.nl/solliciteren?job=senior-software-developer-front-endback-end-bij-sysunite-bv", "Link")</f>
        <v/>
      </c>
      <c r="I1490" t="s">
        <v>17</v>
      </c>
      <c r="J1490" t="s">
        <v>18</v>
      </c>
      <c r="K1490" t="s">
        <v>500</v>
      </c>
      <c r="L1490" t="s">
        <v>505</v>
      </c>
    </row>
    <row hidden="1" r="1491" s="1" spans="1:12">
      <c r="A1491" s="4" t="n">
        <v>43147</v>
      </c>
      <c r="B1491" t="s">
        <v>164</v>
      </c>
      <c r="C1491" t="s">
        <v>80</v>
      </c>
      <c r="D1491" t="s">
        <v>22</v>
      </c>
      <c r="E1491" t="s">
        <v>15</v>
      </c>
      <c r="F1491" t="s">
        <v>52</v>
      </c>
      <c r="G1491" t="s">
        <v>2045</v>
      </c>
      <c r="H1491">
        <f>HYPERLINK("https://www.jouwictvacature.nl/solliciteren?job=medior-embedded-developer-in-amsterdam--cc-java-arm-based-processoren-", "Link")</f>
        <v/>
      </c>
      <c r="I1491" t="s">
        <v>17</v>
      </c>
      <c r="J1491" t="s">
        <v>18</v>
      </c>
      <c r="K1491" t="s">
        <v>1194</v>
      </c>
      <c r="L1491" t="s">
        <v>2046</v>
      </c>
    </row>
    <row hidden="1" r="1492" s="1" spans="1:12">
      <c r="A1492" s="4" t="n">
        <v>43147</v>
      </c>
      <c r="B1492" t="s">
        <v>423</v>
      </c>
      <c r="C1492" t="s">
        <v>406</v>
      </c>
      <c r="D1492" t="s">
        <v>245</v>
      </c>
      <c r="E1492" t="s">
        <v>15</v>
      </c>
      <c r="F1492" t="s">
        <v>28</v>
      </c>
      <c r="G1492" t="s">
        <v>1160</v>
      </c>
      <c r="H1492">
        <f>HYPERLINK("https://www.jouwictvacature.nl/solliciteren?job=senior-java-ontwikkelaar", "Link")</f>
        <v/>
      </c>
      <c r="I1492" t="s">
        <v>17</v>
      </c>
      <c r="J1492" t="s">
        <v>18</v>
      </c>
      <c r="K1492" t="s">
        <v>1161</v>
      </c>
      <c r="L1492" t="s">
        <v>1162</v>
      </c>
    </row>
    <row hidden="1" r="1493" s="1" spans="1:12">
      <c r="A1493" s="4" t="n">
        <v>43147</v>
      </c>
      <c r="B1493" t="s">
        <v>37</v>
      </c>
      <c r="C1493" t="s">
        <v>38</v>
      </c>
      <c r="D1493" t="s">
        <v>22</v>
      </c>
      <c r="E1493" t="s">
        <v>15</v>
      </c>
      <c r="F1493" t="s">
        <v>52</v>
      </c>
      <c r="G1493" t="s">
        <v>665</v>
      </c>
      <c r="H1493">
        <f>HYPERLINK("https://www.jouwictvacature.nl/solliciteren?job=medior-front-end-developer-19", "Link")</f>
        <v/>
      </c>
      <c r="I1493" t="s">
        <v>17</v>
      </c>
      <c r="J1493" t="s">
        <v>18</v>
      </c>
      <c r="K1493" t="s">
        <v>40</v>
      </c>
      <c r="L1493" t="s">
        <v>912</v>
      </c>
    </row>
    <row hidden="1" r="1494" s="1" spans="1:12">
      <c r="A1494" s="4" t="n">
        <v>43147</v>
      </c>
      <c r="B1494" t="s">
        <v>308</v>
      </c>
      <c r="C1494" t="s">
        <v>309</v>
      </c>
      <c r="D1494" t="s">
        <v>14</v>
      </c>
      <c r="E1494" t="s">
        <v>15</v>
      </c>
      <c r="F1494" t="s">
        <v>16</v>
      </c>
      <c r="G1494" t="s">
        <v>706</v>
      </c>
      <c r="H1494">
        <f>HYPERLINK("https://www.jouwictvacature.nl/solliciteren?job=cc-developer-bij-marketgraph--c-opengl-3d-programmeren", "Link")</f>
        <v/>
      </c>
      <c r="I1494" t="s">
        <v>17</v>
      </c>
      <c r="J1494" t="s">
        <v>18</v>
      </c>
      <c r="K1494" t="s">
        <v>311</v>
      </c>
      <c r="L1494" t="s">
        <v>707</v>
      </c>
    </row>
    <row hidden="1" r="1495" s="1" spans="1:12">
      <c r="A1495" s="4" t="n">
        <v>43147</v>
      </c>
      <c r="B1495" t="s">
        <v>283</v>
      </c>
      <c r="C1495" t="s">
        <v>284</v>
      </c>
      <c r="D1495" t="s">
        <v>14</v>
      </c>
      <c r="E1495" t="s">
        <v>15</v>
      </c>
      <c r="F1495" t="s">
        <v>16</v>
      </c>
      <c r="G1495" t="s">
        <v>283</v>
      </c>
      <c r="H1495">
        <f>HYPERLINK("https://www.jouwictvacature.nl/solliciteren?job=medior-net-c-developer", "Link")</f>
        <v/>
      </c>
      <c r="I1495" t="s">
        <v>17</v>
      </c>
      <c r="J1495" t="s">
        <v>18</v>
      </c>
      <c r="K1495" t="s">
        <v>285</v>
      </c>
      <c r="L1495" t="s">
        <v>286</v>
      </c>
    </row>
    <row hidden="1" r="1496" s="1" spans="1:12">
      <c r="A1496" s="4" t="n">
        <v>43147</v>
      </c>
      <c r="B1496" t="s">
        <v>104</v>
      </c>
      <c r="C1496" t="s">
        <v>93</v>
      </c>
      <c r="D1496" t="s">
        <v>22</v>
      </c>
      <c r="E1496" t="s">
        <v>15</v>
      </c>
      <c r="F1496" t="s">
        <v>16</v>
      </c>
      <c r="G1496" t="s">
        <v>104</v>
      </c>
      <c r="H1496">
        <f>HYPERLINK("https://www.jouwictvacature.nl/solliciteren?job=senior-softwareontwikkelaar-bij-betabit-regio-rotterdam", "Link")</f>
        <v/>
      </c>
      <c r="I1496" t="s">
        <v>17</v>
      </c>
      <c r="J1496" t="s">
        <v>18</v>
      </c>
      <c r="K1496" t="s">
        <v>1349</v>
      </c>
      <c r="L1496" t="s">
        <v>1547</v>
      </c>
    </row>
    <row hidden="1" r="1497" s="1" spans="1:12">
      <c r="A1497" s="4" t="n">
        <v>43147</v>
      </c>
      <c r="B1497" t="s">
        <v>2000</v>
      </c>
      <c r="C1497" t="s">
        <v>45</v>
      </c>
      <c r="D1497" t="s">
        <v>245</v>
      </c>
      <c r="E1497" t="s">
        <v>15</v>
      </c>
      <c r="F1497" t="s">
        <v>28</v>
      </c>
      <c r="G1497" t="s">
        <v>2047</v>
      </c>
      <c r="H1497">
        <f>HYPERLINK("https://www.jouwictvacature.nl/solliciteren?job=medior-microsoft-sharepoint-specialist-bij-sogeti-2", "Link")</f>
        <v/>
      </c>
      <c r="I1497" t="s">
        <v>17</v>
      </c>
      <c r="J1497" t="s">
        <v>18</v>
      </c>
      <c r="K1497" t="s">
        <v>458</v>
      </c>
      <c r="L1497" t="s">
        <v>2048</v>
      </c>
    </row>
    <row hidden="1" r="1498" s="1" spans="1:12">
      <c r="A1498" s="4" t="n">
        <v>43147</v>
      </c>
      <c r="B1498" t="s">
        <v>2000</v>
      </c>
      <c r="C1498" t="s">
        <v>460</v>
      </c>
      <c r="D1498" t="s">
        <v>245</v>
      </c>
      <c r="E1498" t="s">
        <v>15</v>
      </c>
      <c r="F1498" t="s">
        <v>16</v>
      </c>
      <c r="G1498" t="s">
        <v>1526</v>
      </c>
      <c r="H1498">
        <f>HYPERLINK("https://www.jouwictvacature.nl/solliciteren?job=net-lead-engineer-bij-sogeti-4", "Link")</f>
        <v/>
      </c>
      <c r="I1498" t="s">
        <v>17</v>
      </c>
      <c r="J1498" t="s">
        <v>18</v>
      </c>
      <c r="K1498" t="s">
        <v>466</v>
      </c>
      <c r="L1498" t="s">
        <v>1527</v>
      </c>
    </row>
    <row hidden="1" r="1499" s="1" spans="1:12">
      <c r="A1499" s="4" t="n">
        <v>43147</v>
      </c>
      <c r="B1499" t="s">
        <v>104</v>
      </c>
      <c r="C1499" t="s">
        <v>62</v>
      </c>
      <c r="D1499" t="s">
        <v>22</v>
      </c>
      <c r="E1499" t="s">
        <v>15</v>
      </c>
      <c r="F1499" t="s">
        <v>16</v>
      </c>
      <c r="G1499" t="s">
        <v>104</v>
      </c>
      <c r="H1499">
        <f>HYPERLINK("https://www.jouwictvacature.nl/solliciteren?job=junior-net-ontwikkelaar-bij-betabit-regio-utrechtamsterdam", "Link")</f>
        <v/>
      </c>
      <c r="I1499" t="s">
        <v>17</v>
      </c>
      <c r="J1499" t="s">
        <v>18</v>
      </c>
      <c r="K1499" t="s">
        <v>107</v>
      </c>
      <c r="L1499" t="s">
        <v>1749</v>
      </c>
    </row>
    <row hidden="1" r="1500" s="1" spans="1:12">
      <c r="A1500" s="4" t="n">
        <v>43147</v>
      </c>
      <c r="B1500" t="s">
        <v>1235</v>
      </c>
      <c r="C1500" t="s">
        <v>1236</v>
      </c>
      <c r="D1500" t="s">
        <v>245</v>
      </c>
      <c r="E1500" t="s">
        <v>15</v>
      </c>
      <c r="F1500" t="s">
        <v>28</v>
      </c>
      <c r="G1500" t="s">
        <v>1839</v>
      </c>
      <c r="H1500">
        <f>HYPERLINK("https://www.jouwictvacature.nl/solliciteren?job=senior-net-developer-met-affiniteit-voor-onderwijs", "Link")</f>
        <v/>
      </c>
      <c r="I1500" t="s">
        <v>17</v>
      </c>
      <c r="J1500" t="s">
        <v>18</v>
      </c>
      <c r="K1500" t="s">
        <v>1238</v>
      </c>
      <c r="L1500" t="s">
        <v>1840</v>
      </c>
    </row>
    <row hidden="1" r="1501" s="1" spans="1:12">
      <c r="A1501" s="4" t="n">
        <v>43147</v>
      </c>
      <c r="B1501" t="s">
        <v>1174</v>
      </c>
      <c r="C1501" t="s">
        <v>1175</v>
      </c>
      <c r="D1501" t="s">
        <v>245</v>
      </c>
      <c r="E1501" t="s">
        <v>15</v>
      </c>
      <c r="F1501" t="s">
        <v>28</v>
      </c>
      <c r="G1501" t="s">
        <v>1926</v>
      </c>
      <c r="H1501">
        <f>HYPERLINK("https://www.jouwictvacature.nl/solliciteren?job=senior-c-developer-met-affiniteit-voor-blockchain-machine-learning-en-", "Link")</f>
        <v/>
      </c>
      <c r="I1501" t="s">
        <v>17</v>
      </c>
      <c r="J1501" t="s">
        <v>18</v>
      </c>
      <c r="K1501" t="s">
        <v>1177</v>
      </c>
      <c r="L1501" t="s">
        <v>1927</v>
      </c>
    </row>
    <row hidden="1" r="1502" s="1" spans="1:12">
      <c r="A1502" s="4" t="n">
        <v>43147</v>
      </c>
      <c r="B1502" t="s">
        <v>332</v>
      </c>
      <c r="C1502" t="s">
        <v>333</v>
      </c>
      <c r="D1502" t="s">
        <v>14</v>
      </c>
      <c r="E1502" t="s">
        <v>15</v>
      </c>
      <c r="F1502" t="s">
        <v>28</v>
      </c>
      <c r="G1502" t="s">
        <v>1966</v>
      </c>
      <c r="H1502">
        <f>HYPERLINK("https://www.jouwictvacature.nl/solliciteren?job=senior-net-ontwikkelaar-", "Link")</f>
        <v/>
      </c>
      <c r="I1502" t="s">
        <v>17</v>
      </c>
      <c r="J1502" t="s">
        <v>18</v>
      </c>
      <c r="K1502" t="s">
        <v>335</v>
      </c>
      <c r="L1502" t="s">
        <v>1967</v>
      </c>
    </row>
    <row hidden="1" r="1503" s="1" spans="1:12">
      <c r="A1503" s="4" t="n">
        <v>43147</v>
      </c>
      <c r="B1503" t="s">
        <v>1446</v>
      </c>
      <c r="C1503" t="s">
        <v>80</v>
      </c>
      <c r="D1503" t="s">
        <v>22</v>
      </c>
      <c r="E1503" t="s">
        <v>15</v>
      </c>
      <c r="F1503" t="s">
        <v>16</v>
      </c>
      <c r="G1503" t="s">
        <v>1447</v>
      </c>
      <c r="H1503">
        <f>HYPERLINK("https://www.jouwictvacature.nl/solliciteren?job=web-developer-bij-comrads-solutions-2", "Link")</f>
        <v/>
      </c>
      <c r="I1503" t="s">
        <v>17</v>
      </c>
      <c r="J1503" t="s">
        <v>18</v>
      </c>
      <c r="K1503" t="s">
        <v>1448</v>
      </c>
      <c r="L1503" t="s">
        <v>1449</v>
      </c>
    </row>
    <row hidden="1" r="1504" s="1" spans="1:12">
      <c r="A1504" s="4" t="n">
        <v>43147</v>
      </c>
      <c r="B1504" t="s">
        <v>342</v>
      </c>
      <c r="C1504" t="s">
        <v>309</v>
      </c>
      <c r="D1504" t="s">
        <v>14</v>
      </c>
      <c r="E1504" t="s">
        <v>15</v>
      </c>
      <c r="F1504" t="s">
        <v>52</v>
      </c>
      <c r="G1504" t="s">
        <v>343</v>
      </c>
      <c r="H1504">
        <f>HYPERLINK("https://www.jouwictvacature.nl/solliciteren?job=php-developer-bij-muntz", "Link")</f>
        <v/>
      </c>
      <c r="I1504" t="s">
        <v>17</v>
      </c>
      <c r="J1504" t="s">
        <v>18</v>
      </c>
      <c r="K1504" t="s">
        <v>344</v>
      </c>
      <c r="L1504" t="s">
        <v>345</v>
      </c>
    </row>
    <row hidden="1" r="1505" s="1" spans="1:12">
      <c r="A1505" s="4" t="n">
        <v>43147</v>
      </c>
      <c r="B1505" t="s">
        <v>432</v>
      </c>
      <c r="C1505" t="s">
        <v>433</v>
      </c>
      <c r="D1505" t="s">
        <v>245</v>
      </c>
      <c r="E1505" t="s">
        <v>15</v>
      </c>
      <c r="F1505" t="s">
        <v>16</v>
      </c>
      <c r="G1505" t="s">
        <v>1358</v>
      </c>
      <c r="H1505">
        <f>HYPERLINK("https://www.jouwictvacature.nl/solliciteren?job=medior-back-end-developer-regio-groningen", "Link")</f>
        <v/>
      </c>
      <c r="I1505" t="s">
        <v>17</v>
      </c>
      <c r="J1505" t="s">
        <v>18</v>
      </c>
      <c r="K1505" t="s">
        <v>435</v>
      </c>
      <c r="L1505" t="s">
        <v>1359</v>
      </c>
    </row>
    <row hidden="1" r="1506" s="1" spans="1:12">
      <c r="A1506" s="4" t="n">
        <v>43147</v>
      </c>
      <c r="B1506" t="s">
        <v>213</v>
      </c>
      <c r="C1506" t="s">
        <v>80</v>
      </c>
      <c r="D1506" t="s">
        <v>22</v>
      </c>
      <c r="E1506" t="s">
        <v>15</v>
      </c>
      <c r="F1506" t="s">
        <v>16</v>
      </c>
      <c r="G1506" t="s">
        <v>213</v>
      </c>
      <c r="H1506">
        <f>HYPERLINK("https://www.jouwictvacature.nl/solliciteren?job=medior-php-developer-met-oog-voor-data", "Link")</f>
        <v/>
      </c>
      <c r="I1506" t="s">
        <v>17</v>
      </c>
      <c r="J1506" t="s">
        <v>18</v>
      </c>
      <c r="K1506" t="s">
        <v>214</v>
      </c>
      <c r="L1506" t="s">
        <v>2049</v>
      </c>
    </row>
    <row hidden="1" r="1507" s="1" spans="1:12">
      <c r="A1507" s="4" t="n">
        <v>43147</v>
      </c>
      <c r="B1507" t="s">
        <v>230</v>
      </c>
      <c r="C1507" t="s">
        <v>93</v>
      </c>
      <c r="D1507" t="s">
        <v>22</v>
      </c>
      <c r="E1507" t="s">
        <v>15</v>
      </c>
      <c r="F1507" t="s">
        <v>16</v>
      </c>
      <c r="G1507" t="s">
        <v>234</v>
      </c>
      <c r="H1507">
        <f>HYPERLINK("https://www.jouwictvacature.nl/solliciteren?job=php-programmeur-17", "Link")</f>
        <v/>
      </c>
      <c r="I1507" t="s">
        <v>17</v>
      </c>
      <c r="J1507" t="s">
        <v>18</v>
      </c>
      <c r="K1507" t="s">
        <v>235</v>
      </c>
      <c r="L1507" t="s">
        <v>236</v>
      </c>
    </row>
    <row hidden="1" r="1508" s="1" spans="1:12">
      <c r="A1508" s="4" t="n">
        <v>43147</v>
      </c>
      <c r="B1508" t="s">
        <v>942</v>
      </c>
      <c r="C1508" t="s">
        <v>943</v>
      </c>
      <c r="D1508" t="s">
        <v>245</v>
      </c>
      <c r="E1508" t="s">
        <v>15</v>
      </c>
      <c r="F1508" t="s">
        <v>52</v>
      </c>
      <c r="G1508" t="s">
        <v>944</v>
      </c>
      <c r="H1508">
        <f>HYPERLINK("https://www.jouwictvacature.nl/solliciteren?job=junior-php-webdeveloper-4", "Link")</f>
        <v/>
      </c>
      <c r="I1508" t="s">
        <v>17</v>
      </c>
      <c r="J1508" t="s">
        <v>18</v>
      </c>
      <c r="K1508" t="s">
        <v>945</v>
      </c>
      <c r="L1508" t="s">
        <v>946</v>
      </c>
    </row>
    <row hidden="1" r="1509" s="1" spans="1:12">
      <c r="A1509" s="4" t="n">
        <v>43147</v>
      </c>
      <c r="B1509" t="s">
        <v>432</v>
      </c>
      <c r="C1509" t="s">
        <v>433</v>
      </c>
      <c r="D1509" t="s">
        <v>245</v>
      </c>
      <c r="E1509" t="s">
        <v>15</v>
      </c>
      <c r="F1509" t="s">
        <v>16</v>
      </c>
      <c r="G1509" t="s">
        <v>434</v>
      </c>
      <c r="H1509">
        <f>HYPERLINK("https://www.jouwictvacature.nl/solliciteren?job=medior-back-end-developer-regio-groningen-2", "Link")</f>
        <v/>
      </c>
      <c r="I1509" t="s">
        <v>17</v>
      </c>
      <c r="J1509" t="s">
        <v>18</v>
      </c>
      <c r="K1509" t="s">
        <v>435</v>
      </c>
      <c r="L1509" t="s">
        <v>436</v>
      </c>
    </row>
    <row hidden="1" r="1510" s="1" spans="1:12">
      <c r="A1510" s="4" t="n">
        <v>43147</v>
      </c>
      <c r="B1510" t="s">
        <v>278</v>
      </c>
      <c r="C1510" t="s">
        <v>279</v>
      </c>
      <c r="D1510" t="s">
        <v>14</v>
      </c>
      <c r="E1510" t="s">
        <v>15</v>
      </c>
      <c r="F1510" t="s">
        <v>16</v>
      </c>
      <c r="G1510" t="s">
        <v>650</v>
      </c>
      <c r="H1510">
        <f>HYPERLINK("https://www.jouwictvacature.nl/solliciteren?job=php--magento-developer-bij-topwerkgever", "Link")</f>
        <v/>
      </c>
      <c r="I1510" t="s">
        <v>17</v>
      </c>
      <c r="J1510" t="s">
        <v>18</v>
      </c>
      <c r="K1510" t="s">
        <v>651</v>
      </c>
      <c r="L1510" t="s">
        <v>652</v>
      </c>
    </row>
    <row r="1511" spans="1:12">
      <c r="A1511" s="4" t="n">
        <v>43147</v>
      </c>
      <c r="B1511" t="s">
        <v>2037</v>
      </c>
      <c r="C1511" t="s">
        <v>62</v>
      </c>
      <c r="D1511" t="s">
        <v>22</v>
      </c>
      <c r="E1511" t="s">
        <v>51</v>
      </c>
      <c r="F1511" t="s">
        <v>16</v>
      </c>
      <c r="G1511" t="s">
        <v>2037</v>
      </c>
      <c r="H1511">
        <f>HYPERLINK("https://www.jouwictvacature.nl/solliciteren?job=traineeship-bij-educom-bij-educom", "Link")</f>
        <v/>
      </c>
      <c r="I1511" t="s">
        <v>17</v>
      </c>
      <c r="J1511" t="s">
        <v>18</v>
      </c>
      <c r="K1511" t="s">
        <v>2038</v>
      </c>
      <c r="L1511" t="s">
        <v>2039</v>
      </c>
    </row>
    <row hidden="1" r="1512" s="1" spans="1:12">
      <c r="A1512" s="4" t="n">
        <v>43147</v>
      </c>
      <c r="B1512" t="s">
        <v>585</v>
      </c>
      <c r="C1512" t="s">
        <v>586</v>
      </c>
      <c r="D1512" t="s">
        <v>245</v>
      </c>
      <c r="E1512" t="s">
        <v>15</v>
      </c>
      <c r="F1512" t="s">
        <v>16</v>
      </c>
      <c r="G1512" t="s">
        <v>1750</v>
      </c>
      <c r="H1512">
        <f>HYPERLINK("https://www.jouwictvacature.nl/solliciteren?job=senior-php-webontwikkelaar-met-kennis-van-laravel", "Link")</f>
        <v/>
      </c>
      <c r="I1512" t="s">
        <v>17</v>
      </c>
      <c r="J1512" t="s">
        <v>18</v>
      </c>
      <c r="K1512" t="s">
        <v>1751</v>
      </c>
      <c r="L1512" t="s">
        <v>1752</v>
      </c>
    </row>
    <row hidden="1" r="1513" s="1" spans="1:12">
      <c r="A1513" s="4" t="n">
        <v>43147</v>
      </c>
      <c r="B1513" t="s">
        <v>37</v>
      </c>
      <c r="C1513" t="s">
        <v>38</v>
      </c>
      <c r="D1513" t="s">
        <v>22</v>
      </c>
      <c r="E1513" t="s">
        <v>15</v>
      </c>
      <c r="F1513" t="s">
        <v>52</v>
      </c>
      <c r="G1513" t="s">
        <v>1602</v>
      </c>
      <c r="H1513">
        <f>HYPERLINK("https://www.jouwictvacature.nl/solliciteren?job=senior-web-developer-focus-on-front-end-", "Link")</f>
        <v/>
      </c>
      <c r="I1513" t="s">
        <v>17</v>
      </c>
      <c r="J1513" t="s">
        <v>18</v>
      </c>
      <c r="K1513" t="s">
        <v>40</v>
      </c>
      <c r="L1513" t="s">
        <v>1603</v>
      </c>
    </row>
    <row hidden="1" r="1514" s="1" spans="1:12">
      <c r="A1514" s="4" t="n">
        <v>43147</v>
      </c>
      <c r="B1514" t="s">
        <v>423</v>
      </c>
      <c r="C1514" t="s">
        <v>406</v>
      </c>
      <c r="D1514" t="s">
        <v>245</v>
      </c>
      <c r="E1514" t="s">
        <v>15</v>
      </c>
      <c r="F1514" t="s">
        <v>52</v>
      </c>
      <c r="G1514" t="s">
        <v>2050</v>
      </c>
      <c r="H1514">
        <f>HYPERLINK("https://www.jouwictvacature.nl/solliciteren?job=medior-uiux-designer--front-end", "Link")</f>
        <v/>
      </c>
      <c r="I1514" t="s">
        <v>17</v>
      </c>
      <c r="J1514" t="s">
        <v>18</v>
      </c>
      <c r="K1514" t="s">
        <v>1373</v>
      </c>
      <c r="L1514" t="s">
        <v>2051</v>
      </c>
    </row>
    <row hidden="1" r="1515" s="1" spans="1:12">
      <c r="A1515" s="4" t="n">
        <v>43147</v>
      </c>
      <c r="B1515" t="s">
        <v>142</v>
      </c>
      <c r="C1515" t="s">
        <v>143</v>
      </c>
      <c r="D1515" t="s">
        <v>22</v>
      </c>
      <c r="E1515" t="s">
        <v>15</v>
      </c>
      <c r="F1515" t="s">
        <v>52</v>
      </c>
      <c r="G1515" t="s">
        <v>1664</v>
      </c>
      <c r="H1515">
        <f>HYPERLINK("https://www.jouwictvacature.nl/solliciteren?job=medior-full-stack-developer-bij-coas", "Link")</f>
        <v/>
      </c>
      <c r="I1515" t="s">
        <v>17</v>
      </c>
      <c r="J1515" t="s">
        <v>18</v>
      </c>
      <c r="K1515" t="s">
        <v>145</v>
      </c>
      <c r="L1515" t="s">
        <v>1665</v>
      </c>
    </row>
    <row hidden="1" r="1516" s="1" spans="1:12">
      <c r="A1516" s="4" t="n">
        <v>43147</v>
      </c>
      <c r="B1516" t="s">
        <v>358</v>
      </c>
      <c r="C1516" t="s">
        <v>359</v>
      </c>
      <c r="D1516" t="s">
        <v>14</v>
      </c>
      <c r="E1516" t="s">
        <v>15</v>
      </c>
      <c r="F1516" t="s">
        <v>52</v>
      </c>
      <c r="G1516" t="s">
        <v>665</v>
      </c>
      <c r="H1516">
        <f>HYPERLINK("https://www.jouwictvacature.nl/solliciteren?job=medior-front-end-developer-bij-nobears", "Link")</f>
        <v/>
      </c>
      <c r="I1516" t="s">
        <v>17</v>
      </c>
      <c r="J1516" t="s">
        <v>18</v>
      </c>
      <c r="K1516" t="s">
        <v>361</v>
      </c>
      <c r="L1516" t="s">
        <v>1257</v>
      </c>
    </row>
    <row hidden="1" r="1517" s="1" spans="1:12">
      <c r="A1517" s="4" t="n">
        <v>43147</v>
      </c>
      <c r="B1517" t="s">
        <v>829</v>
      </c>
      <c r="C1517" t="s">
        <v>279</v>
      </c>
      <c r="D1517" t="s">
        <v>22</v>
      </c>
      <c r="E1517" t="s">
        <v>15</v>
      </c>
      <c r="F1517" t="s">
        <v>52</v>
      </c>
      <c r="G1517" t="s">
        <v>1092</v>
      </c>
      <c r="H1517">
        <f>HYPERLINK("https://www.jouwictvacature.nl/solliciteren?job=medior-front-end-ontwikkelaar-bij-bigbridge", "Link")</f>
        <v/>
      </c>
      <c r="I1517" t="s">
        <v>17</v>
      </c>
      <c r="J1517" t="s">
        <v>18</v>
      </c>
      <c r="K1517" t="s">
        <v>831</v>
      </c>
      <c r="L1517" t="s">
        <v>1093</v>
      </c>
    </row>
    <row hidden="1" r="1518" s="1" spans="1:12">
      <c r="A1518" s="4" t="n">
        <v>43147</v>
      </c>
      <c r="B1518" t="s">
        <v>332</v>
      </c>
      <c r="C1518" t="s">
        <v>333</v>
      </c>
      <c r="D1518" t="s">
        <v>14</v>
      </c>
      <c r="E1518" t="s">
        <v>15</v>
      </c>
      <c r="F1518" t="s">
        <v>28</v>
      </c>
      <c r="G1518" t="s">
        <v>1418</v>
      </c>
      <c r="H1518">
        <f>HYPERLINK("https://www.jouwictvacature.nl/solliciteren?job=seniorjavascript-developer-bij-mplus", "Link")</f>
        <v/>
      </c>
      <c r="I1518" t="s">
        <v>17</v>
      </c>
      <c r="J1518" t="s">
        <v>18</v>
      </c>
      <c r="K1518" t="s">
        <v>340</v>
      </c>
      <c r="L1518" t="s">
        <v>1604</v>
      </c>
    </row>
    <row hidden="1" r="1519" s="1" spans="1:12">
      <c r="A1519" s="4" t="n">
        <v>43147</v>
      </c>
      <c r="B1519" t="s">
        <v>287</v>
      </c>
      <c r="C1519" t="s">
        <v>279</v>
      </c>
      <c r="D1519" t="s">
        <v>14</v>
      </c>
      <c r="E1519" t="s">
        <v>15</v>
      </c>
      <c r="F1519" t="s">
        <v>16</v>
      </c>
      <c r="G1519" t="s">
        <v>291</v>
      </c>
      <c r="H1519">
        <f>HYPERLINK("https://www.jouwictvacature.nl/solliciteren?job=word-jij-onze-nieuwe-front-end-development-hero-", "Link")</f>
        <v/>
      </c>
      <c r="I1519" t="s">
        <v>17</v>
      </c>
      <c r="J1519" t="s">
        <v>18</v>
      </c>
      <c r="K1519" t="s">
        <v>289</v>
      </c>
      <c r="L1519" t="s">
        <v>292</v>
      </c>
    </row>
    <row hidden="1" r="1520" s="1" spans="1:12">
      <c r="A1520" s="4" t="n">
        <v>43147</v>
      </c>
      <c r="B1520" t="s">
        <v>317</v>
      </c>
      <c r="C1520" t="s">
        <v>45</v>
      </c>
      <c r="D1520" t="s">
        <v>14</v>
      </c>
      <c r="E1520" t="s">
        <v>15</v>
      </c>
      <c r="F1520" t="s">
        <v>28</v>
      </c>
      <c r="G1520" t="s">
        <v>967</v>
      </c>
      <c r="H1520">
        <f>HYPERLINK("https://www.jouwictvacature.nl/solliciteren?job=senior-full-stack-developer-bij-maximumnl", "Link")</f>
        <v/>
      </c>
      <c r="I1520" t="s">
        <v>17</v>
      </c>
      <c r="J1520" t="s">
        <v>18</v>
      </c>
      <c r="K1520" t="s">
        <v>632</v>
      </c>
      <c r="L1520" t="s">
        <v>968</v>
      </c>
    </row>
    <row hidden="1" r="1521" s="1" spans="1:12">
      <c r="A1521" s="4" t="n">
        <v>43147</v>
      </c>
      <c r="B1521" t="s">
        <v>829</v>
      </c>
      <c r="C1521" t="s">
        <v>279</v>
      </c>
      <c r="D1521" t="s">
        <v>22</v>
      </c>
      <c r="E1521" t="s">
        <v>15</v>
      </c>
      <c r="F1521" t="s">
        <v>16</v>
      </c>
      <c r="G1521" t="s">
        <v>952</v>
      </c>
      <c r="H1521">
        <f>HYPERLINK("https://www.jouwictvacature.nl/solliciteren?job=front-end-ontwikkelaar-bij-bigbridge", "Link")</f>
        <v/>
      </c>
      <c r="I1521" t="s">
        <v>17</v>
      </c>
      <c r="J1521" t="s">
        <v>18</v>
      </c>
      <c r="K1521" t="s">
        <v>953</v>
      </c>
      <c r="L1521" t="s">
        <v>954</v>
      </c>
    </row>
    <row hidden="1" r="1522" s="1" spans="1:12">
      <c r="A1522" s="4" t="n">
        <v>43147</v>
      </c>
      <c r="B1522" t="s">
        <v>136</v>
      </c>
      <c r="C1522" t="s">
        <v>137</v>
      </c>
      <c r="D1522" t="s">
        <v>22</v>
      </c>
      <c r="E1522" t="s">
        <v>15</v>
      </c>
      <c r="F1522" t="s">
        <v>16</v>
      </c>
      <c r="G1522" t="s">
        <v>138</v>
      </c>
      <c r="H1522">
        <f>HYPERLINK("https://www.jouwictvacature.nl/solliciteren?job=medior-software-engineer-bij-cgi", "Link")</f>
        <v/>
      </c>
      <c r="I1522" t="s">
        <v>17</v>
      </c>
      <c r="J1522" t="s">
        <v>18</v>
      </c>
      <c r="K1522" t="s">
        <v>139</v>
      </c>
      <c r="L1522" t="s">
        <v>1629</v>
      </c>
    </row>
    <row hidden="1" r="1523" s="1" spans="1:12">
      <c r="A1523" s="4" t="n">
        <v>43152</v>
      </c>
      <c r="B1523" t="s">
        <v>207</v>
      </c>
      <c r="C1523" t="s">
        <v>38</v>
      </c>
      <c r="D1523" t="s">
        <v>22</v>
      </c>
      <c r="E1523" t="s">
        <v>15</v>
      </c>
      <c r="F1523" t="s">
        <v>16</v>
      </c>
      <c r="G1523" t="s">
        <v>207</v>
      </c>
      <c r="H1523">
        <f>HYPERLINK("https://www.jouwictvacature.nl/solliciteren?job=technical-designer-bij-festa-solutions-bv", "Link")</f>
        <v/>
      </c>
      <c r="I1523" t="s">
        <v>17</v>
      </c>
      <c r="J1523" t="s">
        <v>18</v>
      </c>
      <c r="K1523" t="s">
        <v>208</v>
      </c>
      <c r="L1523" t="s">
        <v>209</v>
      </c>
    </row>
    <row hidden="1" r="1524" s="1" spans="1:12">
      <c r="A1524" s="4" t="n">
        <v>43152</v>
      </c>
      <c r="B1524" t="s">
        <v>164</v>
      </c>
      <c r="C1524" t="s">
        <v>80</v>
      </c>
      <c r="D1524" t="s">
        <v>22</v>
      </c>
      <c r="E1524" t="s">
        <v>15</v>
      </c>
      <c r="F1524" t="s">
        <v>28</v>
      </c>
      <c r="G1524" t="s">
        <v>1919</v>
      </c>
      <c r="H1524">
        <f>HYPERLINK("https://www.jouwictvacature.nl/solliciteren?job=senior-mobile-developer-in-amsterdam--iot-android-ios-iphone-sdk-bij-d", "Link")</f>
        <v/>
      </c>
      <c r="I1524" t="s">
        <v>17</v>
      </c>
      <c r="J1524" t="s">
        <v>18</v>
      </c>
      <c r="K1524" t="s">
        <v>1920</v>
      </c>
      <c r="L1524" t="s">
        <v>1921</v>
      </c>
    </row>
    <row hidden="1" r="1525" s="1" spans="1:12">
      <c r="A1525" s="4" t="n">
        <v>43152</v>
      </c>
      <c r="B1525" t="s">
        <v>132</v>
      </c>
      <c r="C1525" t="s">
        <v>93</v>
      </c>
      <c r="D1525" t="s">
        <v>22</v>
      </c>
      <c r="E1525" t="s">
        <v>15</v>
      </c>
      <c r="F1525" t="s">
        <v>28</v>
      </c>
      <c r="G1525" t="s">
        <v>979</v>
      </c>
      <c r="H1525">
        <f>HYPERLINK("https://www.jouwictvacature.nl/solliciteren?job=senior-mendix-developer-bij-fintech", "Link")</f>
        <v/>
      </c>
      <c r="I1525" t="s">
        <v>17</v>
      </c>
      <c r="J1525" t="s">
        <v>18</v>
      </c>
      <c r="K1525" t="s">
        <v>980</v>
      </c>
      <c r="L1525" t="s">
        <v>981</v>
      </c>
    </row>
    <row hidden="1" r="1526" s="1" spans="1:12">
      <c r="A1526" s="4" t="n">
        <v>43152</v>
      </c>
      <c r="B1526" t="s">
        <v>1377</v>
      </c>
      <c r="C1526" t="s">
        <v>1378</v>
      </c>
      <c r="D1526" t="s">
        <v>22</v>
      </c>
      <c r="E1526" t="s">
        <v>15</v>
      </c>
      <c r="F1526" t="s">
        <v>52</v>
      </c>
      <c r="G1526" t="s">
        <v>2052</v>
      </c>
      <c r="H1526">
        <f>HYPERLINK("https://www.jouwictvacature.nl/solliciteren?job=medior-backend-developer-bij-gappless-te-halfweg-bij-gappless", "Link")</f>
        <v/>
      </c>
      <c r="I1526" t="s">
        <v>17</v>
      </c>
      <c r="J1526" t="s">
        <v>18</v>
      </c>
      <c r="K1526" t="s">
        <v>1810</v>
      </c>
      <c r="L1526" t="s">
        <v>2053</v>
      </c>
    </row>
    <row hidden="1" r="1527" s="1" spans="1:12">
      <c r="A1527" s="4" t="n">
        <v>43152</v>
      </c>
      <c r="B1527" t="s">
        <v>450</v>
      </c>
      <c r="C1527" t="s">
        <v>451</v>
      </c>
      <c r="D1527" t="s">
        <v>245</v>
      </c>
      <c r="E1527" t="s">
        <v>15</v>
      </c>
      <c r="F1527" t="s">
        <v>52</v>
      </c>
      <c r="G1527" t="s">
        <v>1501</v>
      </c>
      <c r="H1527">
        <f>HYPERLINK("https://www.jouwictvacature.nl/solliciteren?job=medior-javaweb-developer-in-automotive-sector--ms-sql-oracle-jsp", "Link")</f>
        <v/>
      </c>
      <c r="I1527" t="s">
        <v>17</v>
      </c>
      <c r="J1527" t="s">
        <v>18</v>
      </c>
      <c r="K1527" t="s">
        <v>453</v>
      </c>
      <c r="L1527" t="s">
        <v>1502</v>
      </c>
    </row>
    <row hidden="1" r="1528" s="1" spans="1:12">
      <c r="A1528" s="4" t="n">
        <v>43152</v>
      </c>
      <c r="B1528" t="s">
        <v>450</v>
      </c>
      <c r="C1528" t="s">
        <v>451</v>
      </c>
      <c r="D1528" t="s">
        <v>245</v>
      </c>
      <c r="E1528" t="s">
        <v>15</v>
      </c>
      <c r="F1528" t="s">
        <v>28</v>
      </c>
      <c r="G1528" t="s">
        <v>982</v>
      </c>
      <c r="H1528">
        <f>HYPERLINK("https://www.jouwictvacature.nl/solliciteren?job=senior-java-developer-bij-sofico-bij-sofico", "Link")</f>
        <v/>
      </c>
      <c r="I1528" t="s">
        <v>17</v>
      </c>
      <c r="J1528" t="s">
        <v>18</v>
      </c>
      <c r="K1528" t="s">
        <v>777</v>
      </c>
      <c r="L1528" t="s">
        <v>983</v>
      </c>
    </row>
    <row hidden="1" r="1529" s="1" spans="1:12">
      <c r="A1529" s="4" t="n">
        <v>43152</v>
      </c>
      <c r="B1529" t="s">
        <v>1099</v>
      </c>
      <c r="C1529" t="s">
        <v>1100</v>
      </c>
      <c r="D1529" t="s">
        <v>22</v>
      </c>
      <c r="E1529" t="s">
        <v>15</v>
      </c>
      <c r="F1529" t="s">
        <v>34</v>
      </c>
      <c r="G1529" t="s">
        <v>2054</v>
      </c>
      <c r="H1529">
        <f>HYPERLINK("https://www.jouwictvacature.nl/solliciteren?job=medior-java-software-developer--inhouse--deels-werken-vanuit-huis-2", "Link")</f>
        <v/>
      </c>
      <c r="I1529" t="s">
        <v>17</v>
      </c>
      <c r="J1529" t="s">
        <v>18</v>
      </c>
      <c r="K1529" t="s">
        <v>2055</v>
      </c>
      <c r="L1529" t="s">
        <v>2056</v>
      </c>
    </row>
    <row hidden="1" r="1530" s="1" spans="1:12">
      <c r="A1530" s="4" t="n">
        <v>43152</v>
      </c>
      <c r="B1530" t="s">
        <v>237</v>
      </c>
      <c r="C1530" t="s">
        <v>93</v>
      </c>
      <c r="D1530" t="s">
        <v>22</v>
      </c>
      <c r="E1530" t="s">
        <v>15</v>
      </c>
      <c r="F1530" t="s">
        <v>52</v>
      </c>
      <c r="G1530" t="s">
        <v>2057</v>
      </c>
      <c r="H1530">
        <f>HYPERLINK("https://www.jouwictvacature.nl/solliciteren?job=medior-java-developer-bij-hybrit-2", "Link")</f>
        <v/>
      </c>
      <c r="I1530" t="s">
        <v>17</v>
      </c>
      <c r="J1530" t="s">
        <v>18</v>
      </c>
      <c r="K1530" t="s">
        <v>242</v>
      </c>
      <c r="L1530" t="s">
        <v>2058</v>
      </c>
    </row>
    <row hidden="1" r="1531" s="1" spans="1:12">
      <c r="A1531" s="4" t="n">
        <v>43152</v>
      </c>
      <c r="B1531" t="s">
        <v>174</v>
      </c>
      <c r="C1531" t="s">
        <v>38</v>
      </c>
      <c r="D1531" t="s">
        <v>22</v>
      </c>
      <c r="E1531" t="s">
        <v>15</v>
      </c>
      <c r="F1531" t="s">
        <v>52</v>
      </c>
      <c r="G1531" t="s">
        <v>774</v>
      </c>
      <c r="H1531">
        <f>HYPERLINK("https://www.jouwictvacature.nl/solliciteren?job=medior-java-full-stack-developer--ios-phonegap-objective-c-swift-bij-d-3", "Link")</f>
        <v/>
      </c>
      <c r="I1531" t="s">
        <v>17</v>
      </c>
      <c r="J1531" t="s">
        <v>18</v>
      </c>
      <c r="K1531" t="s">
        <v>176</v>
      </c>
      <c r="L1531" t="s">
        <v>775</v>
      </c>
    </row>
    <row r="1532" spans="1:12">
      <c r="A1532" s="4" t="n">
        <v>43152</v>
      </c>
      <c r="B1532" t="s">
        <v>1724</v>
      </c>
      <c r="C1532" t="s">
        <v>1725</v>
      </c>
      <c r="D1532" t="s">
        <v>245</v>
      </c>
      <c r="E1532" t="s">
        <v>51</v>
      </c>
      <c r="F1532" t="s">
        <v>16</v>
      </c>
      <c r="G1532" t="s">
        <v>1726</v>
      </c>
      <c r="H1532">
        <f>HYPERLINK("https://www.jouwictvacature.nl/solliciteren?job=technical-consultant-at-usoft-bij-usoft", "Link")</f>
        <v/>
      </c>
      <c r="I1532" t="s">
        <v>17</v>
      </c>
      <c r="J1532" t="s">
        <v>18</v>
      </c>
      <c r="K1532" t="s">
        <v>1727</v>
      </c>
      <c r="L1532" t="s">
        <v>1728</v>
      </c>
    </row>
    <row hidden="1" r="1533" s="1" spans="1:12">
      <c r="A1533" s="4" t="n">
        <v>43152</v>
      </c>
      <c r="B1533" t="s">
        <v>109</v>
      </c>
      <c r="C1533" t="s">
        <v>112</v>
      </c>
      <c r="D1533" t="s">
        <v>22</v>
      </c>
      <c r="E1533" t="s">
        <v>15</v>
      </c>
      <c r="F1533" t="s">
        <v>16</v>
      </c>
      <c r="G1533" t="s">
        <v>109</v>
      </c>
      <c r="H1533">
        <f>HYPERLINK("https://www.jouwictvacature.nl/solliciteren?job=medior-net-developer-bij-bloemert-groep", "Link")</f>
        <v/>
      </c>
      <c r="I1533" t="s">
        <v>17</v>
      </c>
      <c r="J1533" t="s">
        <v>18</v>
      </c>
      <c r="K1533" t="s">
        <v>113</v>
      </c>
      <c r="L1533" t="s">
        <v>114</v>
      </c>
    </row>
    <row hidden="1" r="1534" s="1" spans="1:12">
      <c r="A1534" s="4" t="n">
        <v>43152</v>
      </c>
      <c r="B1534" t="s">
        <v>2000</v>
      </c>
      <c r="C1534" t="s">
        <v>456</v>
      </c>
      <c r="D1534" t="s">
        <v>245</v>
      </c>
      <c r="E1534" t="s">
        <v>15</v>
      </c>
      <c r="F1534" t="s">
        <v>52</v>
      </c>
      <c r="G1534" t="s">
        <v>852</v>
      </c>
      <c r="H1534">
        <f>HYPERLINK("https://www.jouwictvacature.nl/solliciteren?job=microsoft-sharepoint-specialist-bij-sogeti-2", "Link")</f>
        <v/>
      </c>
      <c r="I1534" t="s">
        <v>17</v>
      </c>
      <c r="J1534" t="s">
        <v>18</v>
      </c>
      <c r="K1534" t="s">
        <v>458</v>
      </c>
      <c r="L1534" t="s">
        <v>853</v>
      </c>
    </row>
    <row hidden="1" r="1535" s="1" spans="1:12">
      <c r="A1535" s="4" t="n">
        <v>43152</v>
      </c>
      <c r="B1535" t="s">
        <v>2059</v>
      </c>
      <c r="C1535" t="s">
        <v>2060</v>
      </c>
      <c r="D1535" t="s">
        <v>14</v>
      </c>
      <c r="E1535" t="s">
        <v>15</v>
      </c>
      <c r="F1535" t="s">
        <v>16</v>
      </c>
      <c r="G1535" t="s">
        <v>2059</v>
      </c>
      <c r="H1535">
        <f>HYPERLINK("https://www.jouwictvacature.nl/solliciteren?job=lead-developer-bij-mactwin", "Link")</f>
        <v/>
      </c>
      <c r="I1535" t="s">
        <v>17</v>
      </c>
      <c r="J1535" t="s">
        <v>18</v>
      </c>
      <c r="K1535" t="s">
        <v>2061</v>
      </c>
      <c r="L1535" t="s">
        <v>2062</v>
      </c>
    </row>
    <row hidden="1" r="1536" s="1" spans="1:12">
      <c r="A1536" s="4" t="n">
        <v>43152</v>
      </c>
      <c r="B1536" t="s">
        <v>109</v>
      </c>
      <c r="C1536" t="s">
        <v>80</v>
      </c>
      <c r="D1536" t="s">
        <v>22</v>
      </c>
      <c r="E1536" t="s">
        <v>15</v>
      </c>
      <c r="F1536" t="s">
        <v>16</v>
      </c>
      <c r="G1536" t="s">
        <v>109</v>
      </c>
      <c r="H1536">
        <f>HYPERLINK("https://www.jouwictvacature.nl/solliciteren?job=medior--senior-net-developer-op-projectbasis", "Link")</f>
        <v/>
      </c>
      <c r="I1536" t="s">
        <v>17</v>
      </c>
      <c r="J1536" t="s">
        <v>18</v>
      </c>
      <c r="K1536" t="s">
        <v>110</v>
      </c>
      <c r="L1536" t="s">
        <v>1072</v>
      </c>
    </row>
    <row hidden="1" r="1537" s="1" spans="1:12">
      <c r="A1537" s="4" t="n">
        <v>43152</v>
      </c>
      <c r="B1537" t="s">
        <v>332</v>
      </c>
      <c r="C1537" t="s">
        <v>333</v>
      </c>
      <c r="D1537" t="s">
        <v>14</v>
      </c>
      <c r="E1537" t="s">
        <v>15</v>
      </c>
      <c r="F1537" t="s">
        <v>52</v>
      </c>
      <c r="G1537" t="s">
        <v>337</v>
      </c>
      <c r="H1537">
        <f>HYPERLINK("https://www.jouwictvacature.nl/solliciteren?job=medior-net-ontwikkelaar-5", "Link")</f>
        <v/>
      </c>
      <c r="I1537" t="s">
        <v>17</v>
      </c>
      <c r="J1537" t="s">
        <v>18</v>
      </c>
      <c r="K1537" t="s">
        <v>335</v>
      </c>
      <c r="L1537" t="s">
        <v>338</v>
      </c>
    </row>
    <row hidden="1" r="1538" s="1" spans="1:12">
      <c r="A1538" s="4" t="n">
        <v>43152</v>
      </c>
      <c r="B1538" t="s">
        <v>196</v>
      </c>
      <c r="C1538" t="s">
        <v>197</v>
      </c>
      <c r="D1538" t="s">
        <v>22</v>
      </c>
      <c r="E1538" t="s">
        <v>15</v>
      </c>
      <c r="F1538" t="s">
        <v>28</v>
      </c>
      <c r="G1538" t="s">
        <v>205</v>
      </c>
      <c r="H1538">
        <f>HYPERLINK("https://www.jouwictvacature.nl/solliciteren?job=senior-c-net--reactjs-developer-bij-easyads-inhouse", "Link")</f>
        <v/>
      </c>
      <c r="I1538" t="s">
        <v>17</v>
      </c>
      <c r="J1538" t="s">
        <v>18</v>
      </c>
      <c r="K1538" t="s">
        <v>199</v>
      </c>
      <c r="L1538" t="s">
        <v>206</v>
      </c>
    </row>
    <row r="1539" spans="1:12">
      <c r="A1539" s="4" t="n">
        <v>43152</v>
      </c>
      <c r="B1539" t="s">
        <v>963</v>
      </c>
      <c r="C1539" t="s">
        <v>38</v>
      </c>
      <c r="D1539" t="s">
        <v>14</v>
      </c>
      <c r="E1539" t="s">
        <v>51</v>
      </c>
      <c r="F1539" t="s">
        <v>52</v>
      </c>
      <c r="G1539" t="s">
        <v>1196</v>
      </c>
      <c r="H1539">
        <f>HYPERLINK("https://www.jouwictvacature.nl/solliciteren?job=medior-software-engineer-focus-on-front-end-bij-pyton-an-amadeus-compa", "Link")</f>
        <v/>
      </c>
      <c r="I1539" t="s">
        <v>17</v>
      </c>
      <c r="J1539" t="s">
        <v>18</v>
      </c>
      <c r="K1539" t="s">
        <v>965</v>
      </c>
      <c r="L1539" t="s">
        <v>1197</v>
      </c>
    </row>
    <row hidden="1" r="1540" s="1" spans="1:12">
      <c r="A1540" s="4" t="n">
        <v>43152</v>
      </c>
      <c r="B1540" t="s">
        <v>785</v>
      </c>
      <c r="C1540" t="s">
        <v>522</v>
      </c>
      <c r="D1540" t="s">
        <v>22</v>
      </c>
      <c r="E1540" t="s">
        <v>15</v>
      </c>
      <c r="F1540" t="s">
        <v>16</v>
      </c>
      <c r="G1540" t="s">
        <v>785</v>
      </c>
      <c r="H1540">
        <f>HYPERLINK("https://www.jouwictvacature.nl/solliciteren?job=software-engineer-bij-ecare-3", "Link")</f>
        <v/>
      </c>
      <c r="I1540" t="s">
        <v>17</v>
      </c>
      <c r="J1540" t="s">
        <v>18</v>
      </c>
      <c r="K1540" t="s">
        <v>1478</v>
      </c>
      <c r="L1540" t="s">
        <v>1479</v>
      </c>
    </row>
    <row r="1541" spans="1:12">
      <c r="A1541" s="4" t="n">
        <v>43152</v>
      </c>
      <c r="B1541" t="s">
        <v>382</v>
      </c>
      <c r="C1541" t="s">
        <v>274</v>
      </c>
      <c r="D1541" t="s">
        <v>14</v>
      </c>
      <c r="E1541" t="s">
        <v>51</v>
      </c>
      <c r="F1541" t="s">
        <v>34</v>
      </c>
      <c r="G1541" t="s">
        <v>1179</v>
      </c>
      <c r="H1541">
        <f>HYPERLINK("https://www.jouwictvacature.nl/solliciteren?job=junior-software-engineer--3", "Link")</f>
        <v/>
      </c>
      <c r="I1541" t="s">
        <v>17</v>
      </c>
      <c r="J1541" t="s">
        <v>18</v>
      </c>
      <c r="K1541" t="s">
        <v>1180</v>
      </c>
      <c r="L1541" t="s">
        <v>1181</v>
      </c>
    </row>
    <row hidden="1" r="1542" s="1" spans="1:12">
      <c r="A1542" s="4" t="n">
        <v>43152</v>
      </c>
      <c r="B1542" t="s">
        <v>12</v>
      </c>
      <c r="C1542" t="s">
        <v>13</v>
      </c>
      <c r="D1542" t="s">
        <v>14</v>
      </c>
      <c r="E1542" t="s">
        <v>15</v>
      </c>
      <c r="F1542" t="s">
        <v>16</v>
      </c>
      <c r="G1542" t="s">
        <v>12</v>
      </c>
      <c r="H1542">
        <f>HYPERLINK("https://www.jouwictvacature.nl/solliciteren?job=architect-net-bij-4dotnet", "Link")</f>
        <v/>
      </c>
      <c r="I1542" t="s">
        <v>17</v>
      </c>
      <c r="J1542" t="s">
        <v>18</v>
      </c>
      <c r="K1542" t="s">
        <v>19</v>
      </c>
      <c r="L1542" t="s">
        <v>20</v>
      </c>
    </row>
    <row hidden="1" r="1543" s="1" spans="1:12">
      <c r="A1543" s="4" t="n">
        <v>43152</v>
      </c>
      <c r="B1543" t="s">
        <v>2016</v>
      </c>
      <c r="C1543" t="s">
        <v>2017</v>
      </c>
      <c r="D1543" t="s">
        <v>22</v>
      </c>
      <c r="E1543" t="s">
        <v>15</v>
      </c>
      <c r="F1543" t="s">
        <v>34</v>
      </c>
      <c r="G1543" t="s">
        <v>2063</v>
      </c>
      <c r="H1543">
        <f>HYPERLINK("https://www.jouwictvacature.nl/solliciteren?job=junior-webdeveloper-bij-connection-systems-bij-connection-systems", "Link")</f>
        <v/>
      </c>
      <c r="I1543" t="s">
        <v>17</v>
      </c>
      <c r="J1543" t="s">
        <v>18</v>
      </c>
      <c r="K1543" t="s">
        <v>2064</v>
      </c>
      <c r="L1543" t="s">
        <v>2065</v>
      </c>
    </row>
    <row hidden="1" r="1544" s="1" spans="1:12">
      <c r="A1544" s="4" t="n">
        <v>43152</v>
      </c>
      <c r="B1544" t="s">
        <v>881</v>
      </c>
      <c r="C1544" t="s">
        <v>428</v>
      </c>
      <c r="D1544" t="s">
        <v>22</v>
      </c>
      <c r="E1544" t="s">
        <v>15</v>
      </c>
      <c r="F1544" t="s">
        <v>28</v>
      </c>
      <c r="G1544" t="s">
        <v>882</v>
      </c>
      <c r="H1544">
        <f>HYPERLINK("https://www.jouwictvacature.nl/solliciteren?job=senior-laravel-php-developer-bij-cepo", "Link")</f>
        <v/>
      </c>
      <c r="I1544" t="s">
        <v>17</v>
      </c>
      <c r="J1544" t="s">
        <v>18</v>
      </c>
      <c r="K1544" t="s">
        <v>883</v>
      </c>
      <c r="L1544" t="s">
        <v>884</v>
      </c>
    </row>
    <row r="1545" spans="1:12">
      <c r="A1545" s="4" t="n">
        <v>43152</v>
      </c>
      <c r="B1545" t="s">
        <v>2066</v>
      </c>
      <c r="C1545" t="s">
        <v>509</v>
      </c>
      <c r="D1545" t="s">
        <v>14</v>
      </c>
      <c r="E1545" t="s">
        <v>51</v>
      </c>
      <c r="F1545" t="s">
        <v>52</v>
      </c>
      <c r="G1545" t="s">
        <v>2067</v>
      </c>
      <c r="H1545">
        <f>HYPERLINK("https://www.jouwictvacature.nl/solliciteren?job=medior-front-end-developer-met-drupal-ervaring-english-2", "Link")</f>
        <v/>
      </c>
      <c r="I1545" t="s">
        <v>17</v>
      </c>
      <c r="J1545" t="s">
        <v>18</v>
      </c>
      <c r="K1545" t="s">
        <v>2068</v>
      </c>
      <c r="L1545" t="s">
        <v>2069</v>
      </c>
    </row>
    <row hidden="1" r="1546" s="1" spans="1:12">
      <c r="A1546" s="4" t="n">
        <v>43152</v>
      </c>
      <c r="B1546" t="s">
        <v>1760</v>
      </c>
      <c r="C1546" t="s">
        <v>62</v>
      </c>
      <c r="D1546" t="s">
        <v>245</v>
      </c>
      <c r="E1546" t="s">
        <v>15</v>
      </c>
      <c r="F1546" t="s">
        <v>16</v>
      </c>
      <c r="G1546" t="s">
        <v>1760</v>
      </c>
      <c r="H1546">
        <f>HYPERLINK("https://www.jouwictvacature.nl/solliciteren?job=senior-magento-developer-bij-zeo-bij-zeo", "Link")</f>
        <v/>
      </c>
      <c r="I1546" t="s">
        <v>17</v>
      </c>
      <c r="J1546" t="s">
        <v>18</v>
      </c>
      <c r="K1546" t="s">
        <v>1842</v>
      </c>
      <c r="L1546" t="s">
        <v>2070</v>
      </c>
    </row>
    <row hidden="1" r="1547" s="1" spans="1:12">
      <c r="A1547" s="4" t="n">
        <v>43152</v>
      </c>
      <c r="B1547" t="s">
        <v>71</v>
      </c>
      <c r="C1547" t="s">
        <v>80</v>
      </c>
      <c r="D1547" t="s">
        <v>22</v>
      </c>
      <c r="E1547" t="s">
        <v>15</v>
      </c>
      <c r="F1547" t="s">
        <v>16</v>
      </c>
      <c r="G1547" t="s">
        <v>81</v>
      </c>
      <c r="H1547">
        <f>HYPERLINK("https://www.jouwictvacature.nl/solliciteren?job=traineeship-agile-test-engineer-bij-bartosz-bij-bartosz-amsterdam", "Link")</f>
        <v/>
      </c>
      <c r="I1547" t="s">
        <v>17</v>
      </c>
      <c r="J1547" t="s">
        <v>18</v>
      </c>
      <c r="K1547" t="s">
        <v>82</v>
      </c>
      <c r="L1547" t="s">
        <v>83</v>
      </c>
    </row>
    <row hidden="1" r="1548" s="1" spans="1:12">
      <c r="A1548" s="4" t="n">
        <v>43152</v>
      </c>
      <c r="B1548" t="s">
        <v>561</v>
      </c>
      <c r="C1548" t="s">
        <v>522</v>
      </c>
      <c r="D1548" t="s">
        <v>245</v>
      </c>
      <c r="E1548" t="s">
        <v>15</v>
      </c>
      <c r="F1548" t="s">
        <v>16</v>
      </c>
      <c r="G1548" t="s">
        <v>561</v>
      </c>
      <c r="H1548">
        <f>HYPERLINK("https://www.jouwictvacature.nl/solliciteren?job=senior-java-developer-bij-de-universiteit-twente", "Link")</f>
        <v/>
      </c>
      <c r="I1548" t="s">
        <v>17</v>
      </c>
      <c r="J1548" t="s">
        <v>18</v>
      </c>
      <c r="K1548" t="s">
        <v>599</v>
      </c>
      <c r="L1548" t="s">
        <v>600</v>
      </c>
    </row>
    <row hidden="1" r="1549" s="1" spans="1:12">
      <c r="A1549" s="4" t="n">
        <v>43152</v>
      </c>
      <c r="B1549" t="s">
        <v>71</v>
      </c>
      <c r="C1549" t="s">
        <v>80</v>
      </c>
      <c r="D1549" t="s">
        <v>22</v>
      </c>
      <c r="E1549" t="s">
        <v>15</v>
      </c>
      <c r="F1549" t="s">
        <v>28</v>
      </c>
      <c r="G1549" t="s">
        <v>90</v>
      </c>
      <c r="H1549">
        <f>HYPERLINK("https://www.jouwictvacature.nl/solliciteren?job=senior-agile-test-specialist-bij-bartosz-bij-bartosz-amsterdam", "Link")</f>
        <v/>
      </c>
      <c r="I1549" t="s">
        <v>17</v>
      </c>
      <c r="J1549" t="s">
        <v>18</v>
      </c>
      <c r="K1549" t="s">
        <v>91</v>
      </c>
      <c r="L1549" t="s">
        <v>2071</v>
      </c>
    </row>
    <row hidden="1" r="1550" s="1" spans="1:12">
      <c r="A1550" s="4" t="n">
        <v>43152</v>
      </c>
      <c r="B1550" t="s">
        <v>174</v>
      </c>
      <c r="C1550" t="s">
        <v>62</v>
      </c>
      <c r="D1550" t="s">
        <v>22</v>
      </c>
      <c r="E1550" t="s">
        <v>15</v>
      </c>
      <c r="F1550" t="s">
        <v>52</v>
      </c>
      <c r="G1550" t="s">
        <v>1165</v>
      </c>
      <c r="H1550">
        <f>HYPERLINK("https://www.jouwictvacature.nl/solliciteren?job=medior-java-full-stack-developer--ios-phonegap-objective-c-swift-bij-d", "Link")</f>
        <v/>
      </c>
      <c r="I1550" t="s">
        <v>17</v>
      </c>
      <c r="J1550" t="s">
        <v>18</v>
      </c>
      <c r="K1550" t="s">
        <v>176</v>
      </c>
      <c r="L1550" t="s">
        <v>2072</v>
      </c>
    </row>
    <row hidden="1" r="1551" s="1" spans="1:12">
      <c r="A1551" s="4" t="n">
        <v>43152</v>
      </c>
      <c r="B1551" t="s">
        <v>71</v>
      </c>
      <c r="C1551" t="s">
        <v>72</v>
      </c>
      <c r="D1551" t="s">
        <v>22</v>
      </c>
      <c r="E1551" t="s">
        <v>15</v>
      </c>
      <c r="F1551" t="s">
        <v>28</v>
      </c>
      <c r="G1551" t="s">
        <v>1459</v>
      </c>
      <c r="H1551">
        <f>HYPERLINK("https://www.jouwictvacature.nl/solliciteren?job=senior-agile-test-specialist-bij-bartosz-bij-bartosz-arnhem", "Link")</f>
        <v/>
      </c>
      <c r="I1551" t="s">
        <v>17</v>
      </c>
      <c r="J1551" t="s">
        <v>18</v>
      </c>
      <c r="K1551" t="s">
        <v>91</v>
      </c>
      <c r="L1551" t="s">
        <v>2073</v>
      </c>
    </row>
    <row hidden="1" r="1552" s="1" spans="1:12">
      <c r="A1552" s="4" t="n">
        <v>43152</v>
      </c>
      <c r="B1552" t="s">
        <v>174</v>
      </c>
      <c r="C1552" t="s">
        <v>80</v>
      </c>
      <c r="D1552" t="s">
        <v>22</v>
      </c>
      <c r="E1552" t="s">
        <v>15</v>
      </c>
      <c r="F1552" t="s">
        <v>52</v>
      </c>
      <c r="G1552" t="s">
        <v>190</v>
      </c>
      <c r="H1552">
        <f>HYPERLINK("https://www.jouwictvacature.nl/solliciteren?job=medior-java-developer-bij-dpa-geos-bij-dpa-geos", "Link")</f>
        <v/>
      </c>
      <c r="I1552" t="s">
        <v>17</v>
      </c>
      <c r="J1552" t="s">
        <v>18</v>
      </c>
      <c r="K1552" t="s">
        <v>176</v>
      </c>
      <c r="L1552" t="s">
        <v>191</v>
      </c>
    </row>
    <row hidden="1" r="1553" s="1" spans="1:12">
      <c r="A1553" s="4" t="n">
        <v>43152</v>
      </c>
      <c r="B1553" t="s">
        <v>508</v>
      </c>
      <c r="C1553" t="s">
        <v>513</v>
      </c>
      <c r="D1553" t="s">
        <v>245</v>
      </c>
      <c r="E1553" t="s">
        <v>15</v>
      </c>
      <c r="F1553" t="s">
        <v>28</v>
      </c>
      <c r="G1553" t="s">
        <v>2074</v>
      </c>
      <c r="H1553">
        <f>HYPERLINK("https://www.jouwictvacature.nl/solliciteren?job=senior-software-developer--delphi-c-c-java-firebird-sql-interbase-bij-", "Link")</f>
        <v/>
      </c>
      <c r="I1553" t="s">
        <v>17</v>
      </c>
      <c r="J1553" t="s">
        <v>18</v>
      </c>
      <c r="K1553" t="s">
        <v>2075</v>
      </c>
      <c r="L1553" t="s">
        <v>2076</v>
      </c>
    </row>
    <row r="1554" spans="1:12">
      <c r="A1554" s="4" t="n">
        <v>43152</v>
      </c>
      <c r="B1554" t="s">
        <v>2040</v>
      </c>
      <c r="C1554" t="s">
        <v>2041</v>
      </c>
      <c r="D1554" t="s">
        <v>22</v>
      </c>
      <c r="E1554" t="s">
        <v>51</v>
      </c>
      <c r="F1554" t="s">
        <v>52</v>
      </c>
      <c r="G1554" t="s">
        <v>2042</v>
      </c>
      <c r="H1554">
        <f>HYPERLINK("https://www.jouwictvacature.nl/solliciteren?job=medior-developer-in-amsterdam--java-rdbms-postgresql-jboss-hibernate-b", "Link")</f>
        <v/>
      </c>
      <c r="I1554" t="s">
        <v>17</v>
      </c>
      <c r="J1554" t="s">
        <v>18</v>
      </c>
      <c r="K1554" t="s">
        <v>2043</v>
      </c>
      <c r="L1554" t="s">
        <v>2044</v>
      </c>
    </row>
    <row hidden="1" r="1555" s="1" spans="1:12">
      <c r="A1555" s="4" t="n">
        <v>43152</v>
      </c>
      <c r="B1555" t="s">
        <v>553</v>
      </c>
      <c r="C1555" t="s">
        <v>554</v>
      </c>
      <c r="D1555" t="s">
        <v>245</v>
      </c>
      <c r="E1555" t="s">
        <v>15</v>
      </c>
      <c r="F1555" t="s">
        <v>16</v>
      </c>
      <c r="G1555" t="s">
        <v>553</v>
      </c>
      <c r="H1555">
        <f>HYPERLINK("https://www.jouwictvacature.nl/solliciteren?job=senior-web-architect-bij-ultraware", "Link")</f>
        <v/>
      </c>
      <c r="I1555" t="s">
        <v>17</v>
      </c>
      <c r="J1555" t="s">
        <v>18</v>
      </c>
      <c r="K1555" t="s">
        <v>555</v>
      </c>
      <c r="L1555" t="s">
        <v>556</v>
      </c>
    </row>
    <row hidden="1" r="1556" s="1" spans="1:12">
      <c r="A1556" s="4" t="n">
        <v>43152</v>
      </c>
      <c r="B1556" t="s">
        <v>1099</v>
      </c>
      <c r="C1556" t="s">
        <v>1100</v>
      </c>
      <c r="D1556" t="s">
        <v>22</v>
      </c>
      <c r="E1556" t="s">
        <v>15</v>
      </c>
      <c r="F1556" t="s">
        <v>16</v>
      </c>
      <c r="G1556" t="s">
        <v>2077</v>
      </c>
      <c r="H1556">
        <f>HYPERLINK("https://www.jouwictvacature.nl/solliciteren?job=junior-java-software-developer--inhouse-java-html-css-javascript-mobil", "Link")</f>
        <v/>
      </c>
      <c r="I1556" t="s">
        <v>17</v>
      </c>
      <c r="J1556" t="s">
        <v>18</v>
      </c>
      <c r="K1556" t="s">
        <v>2078</v>
      </c>
      <c r="L1556" t="s">
        <v>2079</v>
      </c>
    </row>
    <row hidden="1" r="1557" s="1" spans="1:12">
      <c r="A1557" s="4" t="n">
        <v>43152</v>
      </c>
      <c r="B1557" t="s">
        <v>104</v>
      </c>
      <c r="C1557" t="s">
        <v>62</v>
      </c>
      <c r="D1557" t="s">
        <v>22</v>
      </c>
      <c r="E1557" t="s">
        <v>15</v>
      </c>
      <c r="F1557" t="s">
        <v>16</v>
      </c>
      <c r="G1557" t="s">
        <v>104</v>
      </c>
      <c r="H1557">
        <f>HYPERLINK("https://www.jouwictvacature.nl/solliciteren?job=microsoft-net-lead-developer-bij-betabit-regio-utrecht", "Link")</f>
        <v/>
      </c>
      <c r="I1557" t="s">
        <v>17</v>
      </c>
      <c r="J1557" t="s">
        <v>18</v>
      </c>
      <c r="K1557" t="s">
        <v>2080</v>
      </c>
      <c r="L1557" t="s">
        <v>2081</v>
      </c>
    </row>
    <row hidden="1" r="1558" s="1" spans="1:12">
      <c r="A1558" s="4" t="n">
        <v>43152</v>
      </c>
      <c r="B1558" t="s">
        <v>386</v>
      </c>
      <c r="C1558" t="s">
        <v>387</v>
      </c>
      <c r="D1558" t="s">
        <v>14</v>
      </c>
      <c r="E1558" t="s">
        <v>15</v>
      </c>
      <c r="F1558" t="s">
        <v>16</v>
      </c>
      <c r="G1558" t="s">
        <v>2082</v>
      </c>
      <c r="H1558">
        <f>HYPERLINK("https://www.jouwictvacature.nl/solliciteren?job=ervaren-net-developer-bij-packs--oa-inhouse--studiebudget", "Link")</f>
        <v/>
      </c>
      <c r="I1558" t="s">
        <v>17</v>
      </c>
      <c r="J1558" t="s">
        <v>18</v>
      </c>
      <c r="K1558" t="s">
        <v>389</v>
      </c>
      <c r="L1558" t="s">
        <v>2083</v>
      </c>
    </row>
    <row r="1559" spans="1:12">
      <c r="A1559" s="4" t="n">
        <v>43152</v>
      </c>
      <c r="B1559" t="s">
        <v>963</v>
      </c>
      <c r="C1559" t="s">
        <v>38</v>
      </c>
      <c r="D1559" t="s">
        <v>14</v>
      </c>
      <c r="E1559" t="s">
        <v>51</v>
      </c>
      <c r="F1559" t="s">
        <v>28</v>
      </c>
      <c r="G1559" t="s">
        <v>1048</v>
      </c>
      <c r="H1559">
        <f>HYPERLINK("https://www.jouwictvacature.nl/solliciteren?job=senior-software-engineer-focus-on-front-end", "Link")</f>
        <v/>
      </c>
      <c r="I1559" t="s">
        <v>17</v>
      </c>
      <c r="J1559" t="s">
        <v>18</v>
      </c>
      <c r="K1559" t="s">
        <v>965</v>
      </c>
      <c r="L1559" t="s">
        <v>1049</v>
      </c>
    </row>
    <row hidden="1" r="1560" s="1" spans="1:12">
      <c r="A1560" s="4" t="n">
        <v>43152</v>
      </c>
      <c r="B1560" t="s">
        <v>104</v>
      </c>
      <c r="C1560" t="s">
        <v>38</v>
      </c>
      <c r="D1560" t="s">
        <v>22</v>
      </c>
      <c r="E1560" t="s">
        <v>15</v>
      </c>
      <c r="F1560" t="s">
        <v>16</v>
      </c>
      <c r="G1560" t="s">
        <v>104</v>
      </c>
      <c r="H1560">
        <f>HYPERLINK("https://www.jouwictvacature.nl/solliciteren?job=junior-softwareontwikkelaar-bij-betabit-regio-eindhoven", "Link")</f>
        <v/>
      </c>
      <c r="I1560" t="s">
        <v>17</v>
      </c>
      <c r="J1560" t="s">
        <v>18</v>
      </c>
      <c r="K1560" t="s">
        <v>783</v>
      </c>
      <c r="L1560" t="s">
        <v>1838</v>
      </c>
    </row>
    <row hidden="1" r="1561" s="1" spans="1:12">
      <c r="A1561" s="4" t="n">
        <v>43152</v>
      </c>
      <c r="B1561" t="s">
        <v>308</v>
      </c>
      <c r="C1561" t="s">
        <v>309</v>
      </c>
      <c r="D1561" t="s">
        <v>14</v>
      </c>
      <c r="E1561" t="s">
        <v>15</v>
      </c>
      <c r="F1561" t="s">
        <v>16</v>
      </c>
      <c r="G1561" t="s">
        <v>1078</v>
      </c>
      <c r="H1561">
        <f>HYPERLINK("https://www.jouwictvacature.nl/solliciteren?job=senior-cnet-developer-bij-marketgraph-2", "Link")</f>
        <v/>
      </c>
      <c r="I1561" t="s">
        <v>17</v>
      </c>
      <c r="J1561" t="s">
        <v>18</v>
      </c>
      <c r="K1561" t="s">
        <v>311</v>
      </c>
      <c r="L1561" t="s">
        <v>1079</v>
      </c>
    </row>
    <row hidden="1" r="1562" s="1" spans="1:12">
      <c r="A1562" s="4" t="n">
        <v>43152</v>
      </c>
      <c r="B1562" t="s">
        <v>865</v>
      </c>
      <c r="C1562" t="s">
        <v>866</v>
      </c>
      <c r="D1562" t="s">
        <v>245</v>
      </c>
      <c r="E1562" t="s">
        <v>15</v>
      </c>
      <c r="F1562" t="s">
        <v>16</v>
      </c>
      <c r="G1562" t="s">
        <v>865</v>
      </c>
      <c r="H1562">
        <f>HYPERLINK("https://www.jouwictvacature.nl/solliciteren?job=vacature-traineeship-technical-consultant-erp", "Link")</f>
        <v/>
      </c>
      <c r="I1562" t="s">
        <v>17</v>
      </c>
      <c r="J1562" t="s">
        <v>18</v>
      </c>
      <c r="K1562" t="s">
        <v>2084</v>
      </c>
      <c r="L1562" t="s">
        <v>2085</v>
      </c>
    </row>
    <row hidden="1" r="1563" s="1" spans="1:12">
      <c r="A1563" s="4" t="n">
        <v>43152</v>
      </c>
      <c r="B1563" t="s">
        <v>2086</v>
      </c>
      <c r="C1563" t="s">
        <v>93</v>
      </c>
      <c r="D1563" t="s">
        <v>14</v>
      </c>
      <c r="E1563" t="s">
        <v>15</v>
      </c>
      <c r="F1563" t="s">
        <v>16</v>
      </c>
      <c r="G1563" t="s">
        <v>2086</v>
      </c>
      <c r="H1563">
        <f>HYPERLINK("https://www.jouwictvacature.nl/solliciteren?job=aspnet-web-developer-bij-nxtconsult", "Link")</f>
        <v/>
      </c>
      <c r="I1563" t="s">
        <v>17</v>
      </c>
      <c r="J1563" t="s">
        <v>18</v>
      </c>
      <c r="K1563" t="s">
        <v>2087</v>
      </c>
      <c r="L1563" t="s">
        <v>2088</v>
      </c>
    </row>
    <row hidden="1" r="1564" s="1" spans="1:12">
      <c r="A1564" s="4" t="n">
        <v>43152</v>
      </c>
      <c r="B1564" t="s">
        <v>2089</v>
      </c>
      <c r="C1564" t="s">
        <v>309</v>
      </c>
      <c r="D1564" t="s">
        <v>14</v>
      </c>
      <c r="E1564" t="s">
        <v>15</v>
      </c>
      <c r="F1564" t="s">
        <v>16</v>
      </c>
      <c r="G1564" t="s">
        <v>2090</v>
      </c>
      <c r="H1564">
        <f>HYPERLINK("https://www.jouwictvacature.nl/solliciteren?job=net-software-developer-bij-minescape", "Link")</f>
        <v/>
      </c>
      <c r="I1564" t="s">
        <v>17</v>
      </c>
      <c r="J1564" t="s">
        <v>18</v>
      </c>
      <c r="K1564" t="s">
        <v>2091</v>
      </c>
      <c r="L1564" t="s">
        <v>2092</v>
      </c>
    </row>
    <row hidden="1" r="1565" s="1" spans="1:12">
      <c r="A1565" s="4" t="n">
        <v>43152</v>
      </c>
      <c r="B1565" t="s">
        <v>196</v>
      </c>
      <c r="C1565" t="s">
        <v>197</v>
      </c>
      <c r="D1565" t="s">
        <v>22</v>
      </c>
      <c r="E1565" t="s">
        <v>15</v>
      </c>
      <c r="F1565" t="s">
        <v>28</v>
      </c>
      <c r="G1565" t="s">
        <v>205</v>
      </c>
      <c r="H1565">
        <f>HYPERLINK("https://www.jouwictvacature.nl/solliciteren?job=senior-c-net--reactjs-developer-bij-easyads-inhouse", "Link")</f>
        <v/>
      </c>
      <c r="I1565" t="s">
        <v>17</v>
      </c>
      <c r="J1565" t="s">
        <v>18</v>
      </c>
      <c r="K1565" t="s">
        <v>199</v>
      </c>
      <c r="L1565" t="s">
        <v>206</v>
      </c>
    </row>
    <row hidden="1" r="1566" s="1" spans="1:12">
      <c r="A1566" s="4" t="n">
        <v>43152</v>
      </c>
      <c r="B1566" t="s">
        <v>109</v>
      </c>
      <c r="C1566" t="s">
        <v>80</v>
      </c>
      <c r="D1566" t="s">
        <v>22</v>
      </c>
      <c r="E1566" t="s">
        <v>15</v>
      </c>
      <c r="F1566" t="s">
        <v>16</v>
      </c>
      <c r="G1566" t="s">
        <v>109</v>
      </c>
      <c r="H1566">
        <f>HYPERLINK("https://www.jouwictvacature.nl/solliciteren?job=lead-net-developer-bij-bloemert--cnet-aspnet-mvc-javascript", "Link")</f>
        <v/>
      </c>
      <c r="I1566" t="s">
        <v>17</v>
      </c>
      <c r="J1566" t="s">
        <v>18</v>
      </c>
      <c r="K1566" t="s">
        <v>110</v>
      </c>
      <c r="L1566" t="s">
        <v>2093</v>
      </c>
    </row>
    <row hidden="1" r="1567" s="1" spans="1:12">
      <c r="A1567" s="4" t="n">
        <v>43152</v>
      </c>
      <c r="B1567" t="s">
        <v>2094</v>
      </c>
      <c r="C1567" t="s">
        <v>2095</v>
      </c>
      <c r="D1567" t="s">
        <v>22</v>
      </c>
      <c r="E1567" t="s">
        <v>15</v>
      </c>
      <c r="F1567" t="s">
        <v>52</v>
      </c>
      <c r="G1567" t="s">
        <v>2096</v>
      </c>
      <c r="H1567">
        <f>HYPERLINK("https://www.jouwictvacature.nl/solliciteren?job=php-webdeveloper-bij-buro26-", "Link")</f>
        <v/>
      </c>
      <c r="I1567" t="s">
        <v>17</v>
      </c>
      <c r="J1567" t="s">
        <v>18</v>
      </c>
      <c r="K1567" t="s">
        <v>2097</v>
      </c>
      <c r="L1567" t="s">
        <v>2098</v>
      </c>
    </row>
    <row hidden="1" r="1568" s="1" spans="1:12">
      <c r="A1568" s="4" t="n">
        <v>43152</v>
      </c>
      <c r="B1568" t="s">
        <v>568</v>
      </c>
      <c r="C1568" t="s">
        <v>157</v>
      </c>
      <c r="D1568" t="s">
        <v>245</v>
      </c>
      <c r="E1568" t="s">
        <v>15</v>
      </c>
      <c r="F1568" t="s">
        <v>16</v>
      </c>
      <c r="G1568" t="s">
        <v>572</v>
      </c>
      <c r="H1568">
        <f>HYPERLINK("https://www.jouwictvacature.nl/solliciteren?job=ervaren-wordpress-developer-gezocht", "Link")</f>
        <v/>
      </c>
      <c r="I1568" t="s">
        <v>17</v>
      </c>
      <c r="J1568" t="s">
        <v>18</v>
      </c>
      <c r="K1568" t="s">
        <v>570</v>
      </c>
      <c r="L1568" t="s">
        <v>573</v>
      </c>
    </row>
    <row hidden="1" r="1569" s="1" spans="1:12">
      <c r="A1569" s="4" t="n">
        <v>43152</v>
      </c>
      <c r="B1569" t="s">
        <v>813</v>
      </c>
      <c r="C1569" t="s">
        <v>309</v>
      </c>
      <c r="D1569" t="s">
        <v>245</v>
      </c>
      <c r="E1569" t="s">
        <v>15</v>
      </c>
      <c r="F1569" t="s">
        <v>52</v>
      </c>
      <c r="G1569" t="s">
        <v>1085</v>
      </c>
      <c r="H1569">
        <f>HYPERLINK("https://www.jouwictvacature.nl/solliciteren?job=full-stack-developer-bij-telserv--2", "Link")</f>
        <v/>
      </c>
      <c r="I1569" t="s">
        <v>17</v>
      </c>
      <c r="J1569" t="s">
        <v>18</v>
      </c>
      <c r="K1569" t="s">
        <v>815</v>
      </c>
      <c r="L1569" t="s">
        <v>1086</v>
      </c>
    </row>
    <row hidden="1" r="1570" s="1" spans="1:12">
      <c r="A1570" s="4" t="n">
        <v>43152</v>
      </c>
      <c r="B1570" t="s">
        <v>881</v>
      </c>
      <c r="C1570" t="s">
        <v>428</v>
      </c>
      <c r="D1570" t="s">
        <v>22</v>
      </c>
      <c r="E1570" t="s">
        <v>15</v>
      </c>
      <c r="F1570" t="s">
        <v>28</v>
      </c>
      <c r="G1570" t="s">
        <v>295</v>
      </c>
      <c r="H1570">
        <f>HYPERLINK("https://www.jouwictvacature.nl/solliciteren?job=senior-php-developer-bij-cepo", "Link")</f>
        <v/>
      </c>
      <c r="I1570" t="s">
        <v>17</v>
      </c>
      <c r="J1570" t="s">
        <v>18</v>
      </c>
      <c r="K1570" t="s">
        <v>883</v>
      </c>
      <c r="L1570" t="s">
        <v>1406</v>
      </c>
    </row>
    <row hidden="1" r="1571" s="1" spans="1:12">
      <c r="A1571" s="4" t="n">
        <v>43152</v>
      </c>
      <c r="B1571" t="s">
        <v>342</v>
      </c>
      <c r="C1571" t="s">
        <v>309</v>
      </c>
      <c r="D1571" t="s">
        <v>14</v>
      </c>
      <c r="E1571" t="s">
        <v>15</v>
      </c>
      <c r="F1571" t="s">
        <v>52</v>
      </c>
      <c r="G1571" t="s">
        <v>343</v>
      </c>
      <c r="H1571">
        <f>HYPERLINK("https://www.jouwictvacature.nl/solliciteren?job=php-developer-bij-muntz", "Link")</f>
        <v/>
      </c>
      <c r="I1571" t="s">
        <v>17</v>
      </c>
      <c r="J1571" t="s">
        <v>18</v>
      </c>
      <c r="K1571" t="s">
        <v>344</v>
      </c>
      <c r="L1571" t="s">
        <v>345</v>
      </c>
    </row>
    <row hidden="1" r="1572" s="1" spans="1:12">
      <c r="A1572" s="4" t="n">
        <v>43152</v>
      </c>
      <c r="B1572" t="s">
        <v>213</v>
      </c>
      <c r="C1572" t="s">
        <v>80</v>
      </c>
      <c r="D1572" t="s">
        <v>22</v>
      </c>
      <c r="E1572" t="s">
        <v>15</v>
      </c>
      <c r="F1572" t="s">
        <v>16</v>
      </c>
      <c r="G1572" t="s">
        <v>213</v>
      </c>
      <c r="H1572">
        <f>HYPERLINK("https://www.jouwictvacature.nl/solliciteren?job=medior-php-developer-met-oog-voor-data", "Link")</f>
        <v/>
      </c>
      <c r="I1572" t="s">
        <v>17</v>
      </c>
      <c r="J1572" t="s">
        <v>18</v>
      </c>
      <c r="K1572" t="s">
        <v>214</v>
      </c>
      <c r="L1572" t="s">
        <v>2049</v>
      </c>
    </row>
    <row hidden="1" r="1573" s="1" spans="1:12">
      <c r="A1573" s="4" t="n">
        <v>43152</v>
      </c>
      <c r="B1573" t="s">
        <v>342</v>
      </c>
      <c r="C1573" t="s">
        <v>309</v>
      </c>
      <c r="D1573" t="s">
        <v>14</v>
      </c>
      <c r="E1573" t="s">
        <v>15</v>
      </c>
      <c r="F1573" t="s">
        <v>34</v>
      </c>
      <c r="G1573" t="s">
        <v>1745</v>
      </c>
      <c r="H1573">
        <f>HYPERLINK("https://www.jouwictvacature.nl/solliciteren?job=junior-php-developer-bij-muntz-bij-muntz", "Link")</f>
        <v/>
      </c>
      <c r="I1573" t="s">
        <v>17</v>
      </c>
      <c r="J1573" t="s">
        <v>18</v>
      </c>
      <c r="K1573" t="s">
        <v>344</v>
      </c>
      <c r="L1573" t="s">
        <v>1746</v>
      </c>
    </row>
    <row hidden="1" r="1574" s="1" spans="1:12">
      <c r="A1574" s="4" t="n">
        <v>43152</v>
      </c>
      <c r="B1574" t="s">
        <v>942</v>
      </c>
      <c r="C1574" t="s">
        <v>943</v>
      </c>
      <c r="D1574" t="s">
        <v>245</v>
      </c>
      <c r="E1574" t="s">
        <v>15</v>
      </c>
      <c r="F1574" t="s">
        <v>34</v>
      </c>
      <c r="G1574" t="s">
        <v>2099</v>
      </c>
      <c r="H1574">
        <f>HYPERLINK("https://www.jouwictvacature.nl/solliciteren?job=junior-php-webdeveloper-3", "Link")</f>
        <v/>
      </c>
      <c r="I1574" t="s">
        <v>17</v>
      </c>
      <c r="J1574" t="s">
        <v>18</v>
      </c>
      <c r="K1574" t="s">
        <v>945</v>
      </c>
      <c r="L1574" t="s">
        <v>2100</v>
      </c>
    </row>
    <row hidden="1" r="1575" s="1" spans="1:12">
      <c r="A1575" s="4" t="n">
        <v>43152</v>
      </c>
      <c r="B1575" t="s">
        <v>1760</v>
      </c>
      <c r="C1575" t="s">
        <v>62</v>
      </c>
      <c r="D1575" t="s">
        <v>245</v>
      </c>
      <c r="E1575" t="s">
        <v>15</v>
      </c>
      <c r="F1575" t="s">
        <v>16</v>
      </c>
      <c r="G1575" t="s">
        <v>1760</v>
      </c>
      <c r="H1575">
        <f>HYPERLINK("https://www.jouwictvacature.nl/solliciteren?job=junior-wordpress-developer-bij-zeo", "Link")</f>
        <v/>
      </c>
      <c r="I1575" t="s">
        <v>17</v>
      </c>
      <c r="J1575" t="s">
        <v>18</v>
      </c>
      <c r="K1575" t="s">
        <v>1761</v>
      </c>
      <c r="L1575" t="s">
        <v>2101</v>
      </c>
    </row>
    <row hidden="1" r="1576" s="1" spans="1:12">
      <c r="A1576" s="4" t="n">
        <v>43152</v>
      </c>
      <c r="B1576" t="s">
        <v>26</v>
      </c>
      <c r="C1576" t="s">
        <v>27</v>
      </c>
      <c r="D1576" t="s">
        <v>22</v>
      </c>
      <c r="E1576" t="s">
        <v>15</v>
      </c>
      <c r="F1576" t="s">
        <v>34</v>
      </c>
      <c r="G1576" t="s">
        <v>35</v>
      </c>
      <c r="H1576">
        <f>HYPERLINK("https://www.jouwictvacature.nl/solliciteren?job=junior-php-back-end-developer-bij-aan-zee-communicatie", "Link")</f>
        <v/>
      </c>
      <c r="I1576" t="s">
        <v>17</v>
      </c>
      <c r="J1576" t="s">
        <v>18</v>
      </c>
      <c r="K1576" t="s">
        <v>30</v>
      </c>
      <c r="L1576" t="s">
        <v>36</v>
      </c>
    </row>
    <row hidden="1" r="1577" s="1" spans="1:12">
      <c r="A1577" s="4" t="n">
        <v>43152</v>
      </c>
      <c r="B1577" t="s">
        <v>213</v>
      </c>
      <c r="C1577" t="s">
        <v>80</v>
      </c>
      <c r="D1577" t="s">
        <v>22</v>
      </c>
      <c r="E1577" t="s">
        <v>15</v>
      </c>
      <c r="F1577" t="s">
        <v>16</v>
      </c>
      <c r="G1577" t="s">
        <v>213</v>
      </c>
      <c r="H1577">
        <f>HYPERLINK("https://www.jouwictvacature.nl/solliciteren?job=medior-front-end-developer-bij-growing-minds-bij-growing-minds", "Link")</f>
        <v/>
      </c>
      <c r="I1577" t="s">
        <v>17</v>
      </c>
      <c r="J1577" t="s">
        <v>18</v>
      </c>
      <c r="K1577" t="s">
        <v>216</v>
      </c>
      <c r="L1577" t="s">
        <v>2102</v>
      </c>
    </row>
    <row hidden="1" r="1578" s="1" spans="1:12">
      <c r="A1578" s="4" t="n">
        <v>43152</v>
      </c>
      <c r="B1578" t="s">
        <v>26</v>
      </c>
      <c r="C1578" t="s">
        <v>660</v>
      </c>
      <c r="D1578" t="s">
        <v>22</v>
      </c>
      <c r="E1578" t="s">
        <v>15</v>
      </c>
      <c r="F1578" t="s">
        <v>28</v>
      </c>
      <c r="G1578" t="s">
        <v>548</v>
      </c>
      <c r="H1578">
        <f>HYPERLINK("https://www.jouwictvacature.nl/solliciteren?job=senior-front-end-developer-bij-aan-zee-communicatie", "Link")</f>
        <v/>
      </c>
      <c r="I1578" t="s">
        <v>17</v>
      </c>
      <c r="J1578" t="s">
        <v>18</v>
      </c>
      <c r="K1578" t="s">
        <v>662</v>
      </c>
      <c r="L1578" t="s">
        <v>1713</v>
      </c>
    </row>
    <row hidden="1" r="1579" s="1" spans="1:12">
      <c r="A1579" s="4" t="n">
        <v>43152</v>
      </c>
      <c r="B1579" t="s">
        <v>358</v>
      </c>
      <c r="C1579" t="s">
        <v>359</v>
      </c>
      <c r="D1579" t="s">
        <v>14</v>
      </c>
      <c r="E1579" t="s">
        <v>15</v>
      </c>
      <c r="F1579" t="s">
        <v>52</v>
      </c>
      <c r="G1579" t="s">
        <v>665</v>
      </c>
      <c r="H1579">
        <f>HYPERLINK("https://www.jouwictvacature.nl/solliciteren?job=medior-front-end-developer-bij-nobears", "Link")</f>
        <v/>
      </c>
      <c r="I1579" t="s">
        <v>17</v>
      </c>
      <c r="J1579" t="s">
        <v>18</v>
      </c>
      <c r="K1579" t="s">
        <v>361</v>
      </c>
      <c r="L1579" t="s">
        <v>1257</v>
      </c>
    </row>
    <row r="1580" spans="1:12">
      <c r="A1580" s="4" t="n">
        <v>43152</v>
      </c>
      <c r="B1580" t="s">
        <v>2066</v>
      </c>
      <c r="C1580" t="s">
        <v>2103</v>
      </c>
      <c r="D1580" t="s">
        <v>14</v>
      </c>
      <c r="E1580" t="s">
        <v>51</v>
      </c>
      <c r="F1580" t="s">
        <v>28</v>
      </c>
      <c r="G1580" t="s">
        <v>2104</v>
      </c>
      <c r="H1580">
        <f>HYPERLINK("https://www.jouwictvacature.nl/solliciteren?job=senior-front-end-developer-met-reactjs-english-", "Link")</f>
        <v/>
      </c>
      <c r="I1580" t="s">
        <v>17</v>
      </c>
      <c r="J1580" t="s">
        <v>18</v>
      </c>
      <c r="K1580" t="s">
        <v>2105</v>
      </c>
      <c r="L1580" t="s">
        <v>2106</v>
      </c>
    </row>
    <row hidden="1" r="1581" s="1" spans="1:12">
      <c r="A1581" s="4" t="n">
        <v>43152</v>
      </c>
      <c r="B1581" t="s">
        <v>419</v>
      </c>
      <c r="C1581" t="s">
        <v>333</v>
      </c>
      <c r="D1581" t="s">
        <v>245</v>
      </c>
      <c r="E1581" t="s">
        <v>15</v>
      </c>
      <c r="F1581" t="s">
        <v>34</v>
      </c>
      <c r="G1581" t="s">
        <v>420</v>
      </c>
      <c r="H1581">
        <f>HYPERLINK("https://www.jouwictvacature.nl/solliciteren?job=junior-animation-developer-bij-qban", "Link")</f>
        <v/>
      </c>
      <c r="I1581" t="s">
        <v>17</v>
      </c>
      <c r="J1581" t="s">
        <v>18</v>
      </c>
      <c r="K1581" t="s">
        <v>421</v>
      </c>
      <c r="L1581" t="s">
        <v>422</v>
      </c>
    </row>
    <row hidden="1" r="1582" s="1" spans="1:12">
      <c r="A1582" s="4" t="n">
        <v>43152</v>
      </c>
      <c r="B1582" t="s">
        <v>1556</v>
      </c>
      <c r="C1582" t="s">
        <v>1557</v>
      </c>
      <c r="D1582" t="s">
        <v>14</v>
      </c>
      <c r="E1582" t="s">
        <v>15</v>
      </c>
      <c r="F1582" t="s">
        <v>16</v>
      </c>
      <c r="G1582" t="s">
        <v>1556</v>
      </c>
      <c r="H1582">
        <f>HYPERLINK("https://www.jouwictvacature.nl/solliciteren?job=senior-software-tester-bij-minox-bij-minox", "Link")</f>
        <v/>
      </c>
      <c r="I1582" t="s">
        <v>17</v>
      </c>
      <c r="J1582" t="s">
        <v>18</v>
      </c>
      <c r="K1582" t="s">
        <v>1708</v>
      </c>
      <c r="L1582" t="s">
        <v>2107</v>
      </c>
    </row>
    <row hidden="1" r="1583" s="1" spans="1:12">
      <c r="A1583" s="4" t="n">
        <v>43152</v>
      </c>
      <c r="B1583" t="s">
        <v>304</v>
      </c>
      <c r="C1583" t="s">
        <v>305</v>
      </c>
      <c r="D1583" t="s">
        <v>14</v>
      </c>
      <c r="E1583" t="s">
        <v>15</v>
      </c>
      <c r="F1583" t="s">
        <v>16</v>
      </c>
      <c r="G1583" t="s">
        <v>304</v>
      </c>
      <c r="H1583">
        <f>HYPERLINK("https://www.jouwictvacature.nl/solliciteren?job=senior-nodejs-software-engineer-bij-ksyos", "Link")</f>
        <v/>
      </c>
      <c r="I1583" t="s">
        <v>17</v>
      </c>
      <c r="J1583" t="s">
        <v>18</v>
      </c>
      <c r="K1583" t="s">
        <v>306</v>
      </c>
      <c r="L1583" t="s">
        <v>1673</v>
      </c>
    </row>
    <row hidden="1" r="1584" s="1" spans="1:12">
      <c r="A1584" s="4" t="n">
        <v>43152</v>
      </c>
      <c r="B1584" t="s">
        <v>227</v>
      </c>
      <c r="C1584" t="s">
        <v>76</v>
      </c>
      <c r="D1584" t="s">
        <v>22</v>
      </c>
      <c r="E1584" t="s">
        <v>15</v>
      </c>
      <c r="F1584" t="s">
        <v>16</v>
      </c>
      <c r="G1584" t="s">
        <v>1498</v>
      </c>
      <c r="H1584">
        <f>HYPERLINK("https://www.jouwictvacature.nl/solliciteren?job=creatieve-front-end-developer-", "Link")</f>
        <v/>
      </c>
      <c r="I1584" t="s">
        <v>17</v>
      </c>
      <c r="J1584" t="s">
        <v>18</v>
      </c>
      <c r="K1584" t="s">
        <v>1499</v>
      </c>
      <c r="L1584" t="s">
        <v>1500</v>
      </c>
    </row>
    <row hidden="1" r="1585" s="1" spans="1:12">
      <c r="A1585" s="4" t="n">
        <v>43152</v>
      </c>
      <c r="B1585" t="s">
        <v>2108</v>
      </c>
      <c r="C1585" t="s">
        <v>2109</v>
      </c>
      <c r="D1585" t="s">
        <v>14</v>
      </c>
      <c r="E1585" t="s">
        <v>15</v>
      </c>
      <c r="F1585" t="s">
        <v>52</v>
      </c>
      <c r="G1585" t="s">
        <v>2110</v>
      </c>
      <c r="H1585">
        <f>HYPERLINK("https://www.jouwictvacature.nl/solliciteren?job=medior-technische-front-enderr-bij-mijnwebwinkel", "Link")</f>
        <v/>
      </c>
      <c r="I1585" t="s">
        <v>17</v>
      </c>
      <c r="J1585" t="s">
        <v>18</v>
      </c>
      <c r="K1585" t="s">
        <v>2111</v>
      </c>
      <c r="L1585" t="s">
        <v>2112</v>
      </c>
    </row>
    <row hidden="1" r="1586" s="1" spans="1:12">
      <c r="A1586" s="4" t="n">
        <v>43152</v>
      </c>
      <c r="B1586" t="s">
        <v>1503</v>
      </c>
      <c r="C1586" t="s">
        <v>80</v>
      </c>
      <c r="D1586" t="s">
        <v>14</v>
      </c>
      <c r="E1586" t="s">
        <v>15</v>
      </c>
      <c r="F1586" t="s">
        <v>16</v>
      </c>
      <c r="G1586" t="s">
        <v>1503</v>
      </c>
      <c r="H1586">
        <f>HYPERLINK("https://www.jouwictvacature.nl/solliciteren?job=medior-front-end-developer-bij-owlin", "Link")</f>
        <v/>
      </c>
      <c r="I1586" t="s">
        <v>17</v>
      </c>
      <c r="J1586" t="s">
        <v>18</v>
      </c>
      <c r="K1586" t="s">
        <v>1504</v>
      </c>
      <c r="L1586" t="s">
        <v>1505</v>
      </c>
    </row>
    <row hidden="1" r="1587" s="1" spans="1:12">
      <c r="A1587" s="4" t="n">
        <v>43152</v>
      </c>
      <c r="B1587" t="s">
        <v>156</v>
      </c>
      <c r="C1587" t="s">
        <v>157</v>
      </c>
      <c r="D1587" t="s">
        <v>22</v>
      </c>
      <c r="E1587" t="s">
        <v>15</v>
      </c>
      <c r="F1587" t="s">
        <v>28</v>
      </c>
      <c r="G1587" t="s">
        <v>2113</v>
      </c>
      <c r="H1587">
        <f>HYPERLINK("https://www.jouwictvacature.nl/solliciteren?job=senior-java-developer--spring-hibernate-iot-bddtddcicd", "Link")</f>
        <v/>
      </c>
      <c r="I1587" t="s">
        <v>17</v>
      </c>
      <c r="J1587" t="s">
        <v>18</v>
      </c>
      <c r="K1587" t="s">
        <v>159</v>
      </c>
      <c r="L1587" t="s">
        <v>2114</v>
      </c>
    </row>
    <row hidden="1" r="1588" s="1" spans="1:12">
      <c r="A1588" s="4" t="n">
        <v>43152</v>
      </c>
      <c r="B1588" t="s">
        <v>423</v>
      </c>
      <c r="C1588" t="s">
        <v>406</v>
      </c>
      <c r="D1588" t="s">
        <v>245</v>
      </c>
      <c r="E1588" t="s">
        <v>15</v>
      </c>
      <c r="F1588" t="s">
        <v>16</v>
      </c>
      <c r="G1588" t="s">
        <v>2115</v>
      </c>
      <c r="H1588">
        <f>HYPERLINK("https://www.jouwictvacature.nl/solliciteren?job=full-stack-software-engineer", "Link")</f>
        <v/>
      </c>
      <c r="I1588" t="s">
        <v>17</v>
      </c>
      <c r="J1588" t="s">
        <v>18</v>
      </c>
      <c r="K1588" t="s">
        <v>2116</v>
      </c>
      <c r="L1588" t="s">
        <v>2117</v>
      </c>
    </row>
    <row hidden="1" r="1589" s="1" spans="1:12">
      <c r="A1589" s="4" t="n">
        <v>43152</v>
      </c>
      <c r="B1589" t="s">
        <v>115</v>
      </c>
      <c r="C1589" t="s">
        <v>62</v>
      </c>
      <c r="D1589" t="s">
        <v>22</v>
      </c>
      <c r="E1589" t="s">
        <v>15</v>
      </c>
      <c r="F1589" t="s">
        <v>52</v>
      </c>
      <c r="G1589" t="s">
        <v>1614</v>
      </c>
      <c r="H1589">
        <f>HYPERLINK("https://www.jouwictvacature.nl/solliciteren?job=medior-java-developer-in-utrecht--spring-boot-reactor-cloud-bij-bottom", "Link")</f>
        <v/>
      </c>
      <c r="I1589" t="s">
        <v>17</v>
      </c>
      <c r="J1589" t="s">
        <v>18</v>
      </c>
      <c r="K1589" t="s">
        <v>121</v>
      </c>
      <c r="L1589" t="s">
        <v>1615</v>
      </c>
    </row>
    <row hidden="1" r="1590" s="1" spans="1:12">
      <c r="A1590" s="4" t="n">
        <v>43152</v>
      </c>
      <c r="B1590" t="s">
        <v>174</v>
      </c>
      <c r="C1590" t="s">
        <v>62</v>
      </c>
      <c r="D1590" t="s">
        <v>22</v>
      </c>
      <c r="E1590" t="s">
        <v>15</v>
      </c>
      <c r="F1590" t="s">
        <v>28</v>
      </c>
      <c r="G1590" t="s">
        <v>185</v>
      </c>
      <c r="H1590">
        <f>HYPERLINK("https://www.jouwictvacature.nl/solliciteren?job=senior-java-full-stack-developer-bij-dpa-geos-bij-dpa", "Link")</f>
        <v/>
      </c>
      <c r="I1590" t="s">
        <v>17</v>
      </c>
      <c r="J1590" t="s">
        <v>18</v>
      </c>
      <c r="K1590" t="s">
        <v>176</v>
      </c>
      <c r="L1590" t="s">
        <v>186</v>
      </c>
    </row>
    <row hidden="1" r="1591" s="1" spans="1:12">
      <c r="A1591" s="4" t="n">
        <v>43152</v>
      </c>
      <c r="B1591" t="s">
        <v>508</v>
      </c>
      <c r="C1591" t="s">
        <v>513</v>
      </c>
      <c r="D1591" t="s">
        <v>245</v>
      </c>
      <c r="E1591" t="s">
        <v>15</v>
      </c>
      <c r="F1591" t="s">
        <v>34</v>
      </c>
      <c r="G1591" t="s">
        <v>516</v>
      </c>
      <c r="H1591">
        <f>HYPERLINK("https://www.jouwictvacature.nl/solliciteren?job=junior-software-developer--delphi-c-c-java-firebird-sql-interbase", "Link")</f>
        <v/>
      </c>
      <c r="I1591" t="s">
        <v>17</v>
      </c>
      <c r="J1591" t="s">
        <v>18</v>
      </c>
      <c r="K1591" t="s">
        <v>517</v>
      </c>
      <c r="L1591" t="s">
        <v>518</v>
      </c>
    </row>
    <row r="1592" spans="1:12">
      <c r="A1592" s="4" t="n">
        <v>43152</v>
      </c>
      <c r="B1592" t="s">
        <v>2040</v>
      </c>
      <c r="C1592" t="s">
        <v>2041</v>
      </c>
      <c r="D1592" t="s">
        <v>22</v>
      </c>
      <c r="E1592" t="s">
        <v>51</v>
      </c>
      <c r="F1592" t="s">
        <v>28</v>
      </c>
      <c r="G1592" t="s">
        <v>2118</v>
      </c>
      <c r="H1592">
        <f>HYPERLINK("https://www.jouwictvacature.nl/solliciteren?job=senior-android-app-developer-at-findwhere-bij-findwhere", "Link")</f>
        <v/>
      </c>
      <c r="I1592" t="s">
        <v>17</v>
      </c>
      <c r="J1592" t="s">
        <v>18</v>
      </c>
      <c r="K1592" t="s">
        <v>2119</v>
      </c>
      <c r="L1592" t="s">
        <v>2120</v>
      </c>
    </row>
    <row hidden="1" r="1593" s="1" spans="1:12">
      <c r="A1593" s="4" t="n">
        <v>43152</v>
      </c>
      <c r="B1593" t="s">
        <v>132</v>
      </c>
      <c r="C1593" t="s">
        <v>93</v>
      </c>
      <c r="D1593" t="s">
        <v>22</v>
      </c>
      <c r="E1593" t="s">
        <v>15</v>
      </c>
      <c r="F1593" t="s">
        <v>28</v>
      </c>
      <c r="G1593" t="s">
        <v>979</v>
      </c>
      <c r="H1593">
        <f>HYPERLINK("https://www.jouwictvacature.nl/solliciteren?job=senior-mendix-developer-bij-fintech", "Link")</f>
        <v/>
      </c>
      <c r="I1593" t="s">
        <v>17</v>
      </c>
      <c r="J1593" t="s">
        <v>18</v>
      </c>
      <c r="K1593" t="s">
        <v>980</v>
      </c>
      <c r="L1593" t="s">
        <v>981</v>
      </c>
    </row>
    <row hidden="1" r="1594" s="1" spans="1:12">
      <c r="A1594" s="4" t="n">
        <v>43152</v>
      </c>
      <c r="B1594" t="s">
        <v>1217</v>
      </c>
      <c r="C1594" t="s">
        <v>137</v>
      </c>
      <c r="D1594" t="s">
        <v>22</v>
      </c>
      <c r="E1594" t="s">
        <v>15</v>
      </c>
      <c r="F1594" t="s">
        <v>16</v>
      </c>
      <c r="G1594" t="s">
        <v>1217</v>
      </c>
      <c r="H1594">
        <f>HYPERLINK("https://www.jouwictvacature.nl/solliciteren?job=medior-java-en-webdeveloper", "Link")</f>
        <v/>
      </c>
      <c r="I1594" t="s">
        <v>17</v>
      </c>
      <c r="J1594" t="s">
        <v>18</v>
      </c>
      <c r="K1594" t="s">
        <v>1218</v>
      </c>
      <c r="L1594" t="s">
        <v>1537</v>
      </c>
    </row>
    <row hidden="1" r="1595" s="1" spans="1:12">
      <c r="A1595" s="4" t="n">
        <v>43152</v>
      </c>
      <c r="B1595" t="s">
        <v>115</v>
      </c>
      <c r="C1595" t="s">
        <v>62</v>
      </c>
      <c r="D1595" t="s">
        <v>22</v>
      </c>
      <c r="E1595" t="s">
        <v>15</v>
      </c>
      <c r="F1595" t="s">
        <v>16</v>
      </c>
      <c r="G1595" t="s">
        <v>2121</v>
      </c>
      <c r="H1595">
        <f>HYPERLINK("https://www.jouwictvacature.nl/solliciteren?job=werken-in-een-oude-utrechtse-watertoren-als-senior-java-developer-bij-", "Link")</f>
        <v/>
      </c>
      <c r="I1595" t="s">
        <v>17</v>
      </c>
      <c r="J1595" t="s">
        <v>18</v>
      </c>
      <c r="K1595" t="s">
        <v>121</v>
      </c>
      <c r="L1595" t="s">
        <v>2122</v>
      </c>
    </row>
    <row hidden="1" r="1596" s="1" spans="1:12">
      <c r="A1596" s="4" t="n">
        <v>43152</v>
      </c>
      <c r="B1596" t="s">
        <v>115</v>
      </c>
      <c r="C1596" t="s">
        <v>62</v>
      </c>
      <c r="D1596" t="s">
        <v>22</v>
      </c>
      <c r="E1596" t="s">
        <v>15</v>
      </c>
      <c r="F1596" t="s">
        <v>52</v>
      </c>
      <c r="G1596" t="s">
        <v>2123</v>
      </c>
      <c r="H1596">
        <f>HYPERLINK("https://www.jouwictvacature.nl/solliciteren?job=medior-java--vbnet-developer-bij-bottomline-bij-bottomline", "Link")</f>
        <v/>
      </c>
      <c r="I1596" t="s">
        <v>17</v>
      </c>
      <c r="J1596" t="s">
        <v>18</v>
      </c>
      <c r="K1596" t="s">
        <v>1064</v>
      </c>
      <c r="L1596" t="s">
        <v>2124</v>
      </c>
    </row>
    <row hidden="1" r="1597" s="1" spans="1:12">
      <c r="A1597" s="4" t="n">
        <v>43152</v>
      </c>
      <c r="B1597" t="s">
        <v>2000</v>
      </c>
      <c r="C1597" t="s">
        <v>456</v>
      </c>
      <c r="D1597" t="s">
        <v>245</v>
      </c>
      <c r="E1597" t="s">
        <v>15</v>
      </c>
      <c r="F1597" t="s">
        <v>28</v>
      </c>
      <c r="G1597" t="s">
        <v>614</v>
      </c>
      <c r="H1597">
        <f>HYPERLINK("https://www.jouwictvacature.nl/solliciteren?job=medior-net-engineer-bij-sogeti", "Link")</f>
        <v/>
      </c>
      <c r="I1597" t="s">
        <v>17</v>
      </c>
      <c r="J1597" t="s">
        <v>18</v>
      </c>
      <c r="K1597" t="s">
        <v>466</v>
      </c>
      <c r="L1597" t="s">
        <v>615</v>
      </c>
    </row>
    <row r="1598" spans="1:12">
      <c r="A1598" s="4" t="n">
        <v>43152</v>
      </c>
      <c r="B1598" t="s">
        <v>2037</v>
      </c>
      <c r="C1598" t="s">
        <v>62</v>
      </c>
      <c r="D1598" t="s">
        <v>22</v>
      </c>
      <c r="E1598" t="s">
        <v>51</v>
      </c>
      <c r="F1598" t="s">
        <v>16</v>
      </c>
      <c r="G1598" t="s">
        <v>2037</v>
      </c>
      <c r="H1598">
        <f>HYPERLINK("https://www.jouwictvacature.nl/solliciteren?job=traineeship-bij-educom-bij-educom", "Link")</f>
        <v/>
      </c>
      <c r="I1598" t="s">
        <v>17</v>
      </c>
      <c r="J1598" t="s">
        <v>18</v>
      </c>
      <c r="K1598" t="s">
        <v>2038</v>
      </c>
      <c r="L1598" t="s">
        <v>2039</v>
      </c>
    </row>
    <row r="1599" spans="1:12">
      <c r="A1599" s="4" t="n">
        <v>43152</v>
      </c>
      <c r="B1599" t="s">
        <v>2066</v>
      </c>
      <c r="C1599" t="s">
        <v>2103</v>
      </c>
      <c r="D1599" t="s">
        <v>14</v>
      </c>
      <c r="E1599" t="s">
        <v>51</v>
      </c>
      <c r="F1599" t="s">
        <v>52</v>
      </c>
      <c r="G1599" t="s">
        <v>2125</v>
      </c>
      <c r="H1599">
        <f>HYPERLINK("https://www.jouwictvacature.nl/solliciteren?job=medior-front-end-developer-met-reactjs-english-bij-intrasurance-techno", "Link")</f>
        <v/>
      </c>
      <c r="I1599" t="s">
        <v>17</v>
      </c>
      <c r="J1599" t="s">
        <v>18</v>
      </c>
      <c r="K1599" t="s">
        <v>2105</v>
      </c>
      <c r="L1599" t="s">
        <v>2126</v>
      </c>
    </row>
    <row hidden="1" r="1600" s="1" spans="1:12">
      <c r="A1600" s="4" t="n">
        <v>43152</v>
      </c>
      <c r="B1600" t="s">
        <v>283</v>
      </c>
      <c r="C1600" t="s">
        <v>284</v>
      </c>
      <c r="D1600" t="s">
        <v>14</v>
      </c>
      <c r="E1600" t="s">
        <v>15</v>
      </c>
      <c r="F1600" t="s">
        <v>16</v>
      </c>
      <c r="G1600" t="s">
        <v>2127</v>
      </c>
      <c r="H1600">
        <f>HYPERLINK("https://www.jouwictvacature.nl/solliciteren?job=net-web-developer-bij-it-partner", "Link")</f>
        <v/>
      </c>
      <c r="I1600" t="s">
        <v>17</v>
      </c>
      <c r="J1600" t="s">
        <v>18</v>
      </c>
      <c r="K1600" t="s">
        <v>285</v>
      </c>
      <c r="L1600" t="s">
        <v>2128</v>
      </c>
    </row>
    <row hidden="1" r="1601" s="1" spans="1:12">
      <c r="A1601" s="4" t="n">
        <v>43152</v>
      </c>
      <c r="B1601" t="s">
        <v>104</v>
      </c>
      <c r="C1601" t="s">
        <v>93</v>
      </c>
      <c r="D1601" t="s">
        <v>22</v>
      </c>
      <c r="E1601" t="s">
        <v>15</v>
      </c>
      <c r="F1601" t="s">
        <v>16</v>
      </c>
      <c r="G1601" t="s">
        <v>104</v>
      </c>
      <c r="H1601">
        <f>HYPERLINK("https://www.jouwictvacature.nl/solliciteren?job=medior-technisch-software-tester-bij-betabit", "Link")</f>
        <v/>
      </c>
      <c r="I1601" t="s">
        <v>17</v>
      </c>
      <c r="J1601" t="s">
        <v>18</v>
      </c>
      <c r="K1601" t="s">
        <v>105</v>
      </c>
      <c r="L1601" t="s">
        <v>2129</v>
      </c>
    </row>
    <row hidden="1" r="1602" s="1" spans="1:12">
      <c r="A1602" s="4" t="n">
        <v>43152</v>
      </c>
      <c r="B1602" t="s">
        <v>618</v>
      </c>
      <c r="C1602" t="s">
        <v>619</v>
      </c>
      <c r="D1602" t="s">
        <v>22</v>
      </c>
      <c r="E1602" t="s">
        <v>15</v>
      </c>
      <c r="F1602" t="s">
        <v>16</v>
      </c>
      <c r="G1602" t="s">
        <v>1875</v>
      </c>
      <c r="H1602">
        <f>HYPERLINK("https://www.jouwictvacature.nl/solliciteren?job=ambitieuze-developer-net-applicaties-voor-mooie-klanten-als-de-eftelin-2", "Link")</f>
        <v/>
      </c>
      <c r="I1602" t="s">
        <v>17</v>
      </c>
      <c r="J1602" t="s">
        <v>18</v>
      </c>
      <c r="K1602" t="s">
        <v>621</v>
      </c>
      <c r="L1602" t="s">
        <v>1876</v>
      </c>
    </row>
    <row hidden="1" r="1603" s="1" spans="1:12">
      <c r="A1603" s="4" t="n">
        <v>43152</v>
      </c>
      <c r="B1603" t="s">
        <v>382</v>
      </c>
      <c r="C1603" t="s">
        <v>274</v>
      </c>
      <c r="D1603" t="s">
        <v>14</v>
      </c>
      <c r="E1603" t="s">
        <v>15</v>
      </c>
      <c r="F1603" t="s">
        <v>16</v>
      </c>
      <c r="G1603" t="s">
        <v>382</v>
      </c>
      <c r="H1603">
        <f>HYPERLINK("https://www.jouwictvacature.nl/solliciteren?job=technisch-consultant-bij-ortec-", "Link")</f>
        <v/>
      </c>
      <c r="I1603" t="s">
        <v>17</v>
      </c>
      <c r="J1603" t="s">
        <v>18</v>
      </c>
      <c r="K1603" t="s">
        <v>1585</v>
      </c>
      <c r="L1603" t="s">
        <v>1841</v>
      </c>
    </row>
    <row hidden="1" r="1604" s="1" spans="1:12">
      <c r="A1604" s="4" t="n">
        <v>43152</v>
      </c>
      <c r="B1604" t="s">
        <v>1174</v>
      </c>
      <c r="C1604" t="s">
        <v>1175</v>
      </c>
      <c r="D1604" t="s">
        <v>14</v>
      </c>
      <c r="E1604" t="s">
        <v>15</v>
      </c>
      <c r="F1604" t="s">
        <v>52</v>
      </c>
      <c r="G1604" t="s">
        <v>2130</v>
      </c>
      <c r="H1604">
        <f>HYPERLINK("https://www.jouwictvacature.nl/solliciteren?job=medior-c-developer-met-affiniteit-voor-blockchain-machine-learning-en-", "Link")</f>
        <v/>
      </c>
      <c r="I1604" t="s">
        <v>17</v>
      </c>
      <c r="J1604" t="s">
        <v>18</v>
      </c>
      <c r="K1604" t="s">
        <v>1177</v>
      </c>
      <c r="L1604" t="s">
        <v>2131</v>
      </c>
    </row>
    <row hidden="1" r="1605" s="1" spans="1:12">
      <c r="A1605" s="4" t="n">
        <v>43152</v>
      </c>
      <c r="B1605" t="s">
        <v>104</v>
      </c>
      <c r="C1605" t="s">
        <v>80</v>
      </c>
      <c r="D1605" t="s">
        <v>22</v>
      </c>
      <c r="E1605" t="s">
        <v>15</v>
      </c>
      <c r="F1605" t="s">
        <v>16</v>
      </c>
      <c r="G1605" t="s">
        <v>104</v>
      </c>
      <c r="H1605">
        <f>HYPERLINK("https://www.jouwictvacature.nl/solliciteren?job=senior-net-ontwikkelaar-bij-betabit-regio-utrecht", "Link")</f>
        <v/>
      </c>
      <c r="I1605" t="s">
        <v>17</v>
      </c>
      <c r="J1605" t="s">
        <v>18</v>
      </c>
      <c r="K1605" t="s">
        <v>992</v>
      </c>
      <c r="L1605" t="s">
        <v>1077</v>
      </c>
    </row>
    <row hidden="1" r="1606" s="1" spans="1:12">
      <c r="A1606" s="4" t="n">
        <v>43152</v>
      </c>
      <c r="B1606" t="s">
        <v>308</v>
      </c>
      <c r="C1606" t="s">
        <v>309</v>
      </c>
      <c r="D1606" t="s">
        <v>14</v>
      </c>
      <c r="E1606" t="s">
        <v>15</v>
      </c>
      <c r="F1606" t="s">
        <v>16</v>
      </c>
      <c r="G1606" t="s">
        <v>1078</v>
      </c>
      <c r="H1606">
        <f>HYPERLINK("https://www.jouwictvacature.nl/solliciteren?job=senior-cnet-developer-bij-marketgraph-2", "Link")</f>
        <v/>
      </c>
      <c r="I1606" t="s">
        <v>17</v>
      </c>
      <c r="J1606" t="s">
        <v>18</v>
      </c>
      <c r="K1606" t="s">
        <v>311</v>
      </c>
      <c r="L1606" t="s">
        <v>1079</v>
      </c>
    </row>
    <row hidden="1" r="1607" s="1" spans="1:12">
      <c r="A1607" s="4" t="n">
        <v>43152</v>
      </c>
      <c r="B1607" t="s">
        <v>493</v>
      </c>
      <c r="C1607" t="s">
        <v>72</v>
      </c>
      <c r="D1607" t="s">
        <v>245</v>
      </c>
      <c r="E1607" t="s">
        <v>15</v>
      </c>
      <c r="F1607" t="s">
        <v>16</v>
      </c>
      <c r="G1607" t="s">
        <v>1597</v>
      </c>
      <c r="H1607">
        <f>HYPERLINK("https://www.jouwictvacature.nl/solliciteren?job=magento-developer-met-ambitie", "Link")</f>
        <v/>
      </c>
      <c r="I1607" t="s">
        <v>17</v>
      </c>
      <c r="J1607" t="s">
        <v>18</v>
      </c>
      <c r="K1607" t="s">
        <v>495</v>
      </c>
      <c r="L1607" t="s">
        <v>1598</v>
      </c>
    </row>
    <row hidden="1" r="1608" s="1" spans="1:12">
      <c r="A1608" s="4" t="n">
        <v>43152</v>
      </c>
      <c r="B1608" t="s">
        <v>2094</v>
      </c>
      <c r="C1608" t="s">
        <v>2095</v>
      </c>
      <c r="D1608" t="s">
        <v>22</v>
      </c>
      <c r="E1608" t="s">
        <v>15</v>
      </c>
      <c r="F1608" t="s">
        <v>28</v>
      </c>
      <c r="G1608" t="s">
        <v>2132</v>
      </c>
      <c r="H1608">
        <f>HYPERLINK("https://www.jouwictvacature.nl/solliciteren?job=senior-php-developer-bij-buro26", "Link")</f>
        <v/>
      </c>
      <c r="I1608" t="s">
        <v>17</v>
      </c>
      <c r="J1608" t="s">
        <v>18</v>
      </c>
      <c r="K1608" t="s">
        <v>2097</v>
      </c>
      <c r="L1608" t="s">
        <v>2133</v>
      </c>
    </row>
    <row hidden="1" r="1609" s="1" spans="1:12">
      <c r="A1609" s="4" t="n">
        <v>43152</v>
      </c>
      <c r="B1609" t="s">
        <v>1760</v>
      </c>
      <c r="C1609" t="s">
        <v>62</v>
      </c>
      <c r="D1609" t="s">
        <v>245</v>
      </c>
      <c r="E1609" t="s">
        <v>15</v>
      </c>
      <c r="F1609" t="s">
        <v>16</v>
      </c>
      <c r="G1609" t="s">
        <v>1760</v>
      </c>
      <c r="H1609">
        <f>HYPERLINK("https://www.jouwictvacature.nl/solliciteren?job=senior-wordpress-developer-bij-zeo", "Link")</f>
        <v/>
      </c>
      <c r="I1609" t="s">
        <v>17</v>
      </c>
      <c r="J1609" t="s">
        <v>18</v>
      </c>
      <c r="K1609" t="s">
        <v>1761</v>
      </c>
      <c r="L1609" t="s">
        <v>2007</v>
      </c>
    </row>
    <row hidden="1" r="1610" s="1" spans="1:12">
      <c r="A1610" s="4" t="n">
        <v>43152</v>
      </c>
      <c r="B1610" t="s">
        <v>2134</v>
      </c>
      <c r="C1610" t="s">
        <v>2135</v>
      </c>
      <c r="D1610" t="s">
        <v>245</v>
      </c>
      <c r="E1610" t="s">
        <v>15</v>
      </c>
      <c r="F1610" t="s">
        <v>52</v>
      </c>
      <c r="G1610" t="s">
        <v>2136</v>
      </c>
      <c r="H1610">
        <f>HYPERLINK("https://www.jouwictvacature.nl/solliciteren?job=medior-php-developer-bij-sluijmermultimedia", "Link")</f>
        <v/>
      </c>
      <c r="I1610" t="s">
        <v>17</v>
      </c>
      <c r="J1610" t="s">
        <v>18</v>
      </c>
      <c r="K1610" t="s">
        <v>2137</v>
      </c>
      <c r="L1610" t="s">
        <v>2138</v>
      </c>
    </row>
    <row hidden="1" r="1611" s="1" spans="1:12">
      <c r="A1611" s="4" t="n">
        <v>43152</v>
      </c>
      <c r="B1611" t="s">
        <v>1360</v>
      </c>
      <c r="C1611" t="s">
        <v>1361</v>
      </c>
      <c r="D1611" t="s">
        <v>22</v>
      </c>
      <c r="E1611" t="s">
        <v>15</v>
      </c>
      <c r="F1611" t="s">
        <v>34</v>
      </c>
      <c r="G1611" t="s">
        <v>1362</v>
      </c>
      <c r="H1611">
        <f>HYPERLINK("https://www.jouwictvacature.nl/solliciteren?job=back-end-developer-bij-deepdata", "Link")</f>
        <v/>
      </c>
      <c r="I1611" t="s">
        <v>17</v>
      </c>
      <c r="J1611" t="s">
        <v>18</v>
      </c>
      <c r="K1611" t="s">
        <v>1363</v>
      </c>
      <c r="L1611" t="s">
        <v>1364</v>
      </c>
    </row>
    <row hidden="1" r="1612" s="1" spans="1:12">
      <c r="A1612" s="4" t="n">
        <v>43152</v>
      </c>
      <c r="B1612" t="s">
        <v>317</v>
      </c>
      <c r="C1612" t="s">
        <v>45</v>
      </c>
      <c r="D1612" t="s">
        <v>14</v>
      </c>
      <c r="E1612" t="s">
        <v>15</v>
      </c>
      <c r="F1612" t="s">
        <v>52</v>
      </c>
      <c r="G1612" t="s">
        <v>631</v>
      </c>
      <c r="H1612">
        <f>HYPERLINK("https://www.jouwictvacature.nl/solliciteren?job=medior-full-stack-developer-bij-maximumnl", "Link")</f>
        <v/>
      </c>
      <c r="I1612" t="s">
        <v>17</v>
      </c>
      <c r="J1612" t="s">
        <v>18</v>
      </c>
      <c r="K1612" t="s">
        <v>632</v>
      </c>
      <c r="L1612" t="s">
        <v>633</v>
      </c>
    </row>
    <row hidden="1" r="1613" s="1" spans="1:12">
      <c r="A1613" s="4" t="n">
        <v>43152</v>
      </c>
      <c r="B1613" t="s">
        <v>2004</v>
      </c>
      <c r="C1613" t="s">
        <v>1670</v>
      </c>
      <c r="D1613" t="s">
        <v>245</v>
      </c>
      <c r="E1613" t="s">
        <v>15</v>
      </c>
      <c r="F1613" t="s">
        <v>28</v>
      </c>
      <c r="G1613" t="s">
        <v>321</v>
      </c>
      <c r="H1613">
        <f>HYPERLINK("https://www.jouwictvacature.nl/solliciteren?job=senior-javascript-developer-bij-the-people-group", "Link")</f>
        <v/>
      </c>
      <c r="I1613" t="s">
        <v>17</v>
      </c>
      <c r="J1613" t="s">
        <v>18</v>
      </c>
      <c r="K1613" t="s">
        <v>2005</v>
      </c>
      <c r="L1613" t="s">
        <v>2139</v>
      </c>
    </row>
    <row hidden="1" r="1614" s="1" spans="1:12">
      <c r="A1614" s="4" t="n">
        <v>43152</v>
      </c>
      <c r="B1614" t="s">
        <v>813</v>
      </c>
      <c r="C1614" t="s">
        <v>309</v>
      </c>
      <c r="D1614" t="s">
        <v>245</v>
      </c>
      <c r="E1614" t="s">
        <v>15</v>
      </c>
      <c r="F1614" t="s">
        <v>52</v>
      </c>
      <c r="G1614" t="s">
        <v>1085</v>
      </c>
      <c r="H1614">
        <f>HYPERLINK("https://www.jouwictvacature.nl/solliciteren?job=full-stack-developer-bij-telserv--2", "Link")</f>
        <v/>
      </c>
      <c r="I1614" t="s">
        <v>17</v>
      </c>
      <c r="J1614" t="s">
        <v>18</v>
      </c>
      <c r="K1614" t="s">
        <v>815</v>
      </c>
      <c r="L1614" t="s">
        <v>1086</v>
      </c>
    </row>
    <row hidden="1" r="1615" s="1" spans="1:12">
      <c r="A1615" s="4" t="n">
        <v>43152</v>
      </c>
      <c r="B1615" t="s">
        <v>342</v>
      </c>
      <c r="C1615" t="s">
        <v>309</v>
      </c>
      <c r="D1615" t="s">
        <v>14</v>
      </c>
      <c r="E1615" t="s">
        <v>15</v>
      </c>
      <c r="F1615" t="s">
        <v>28</v>
      </c>
      <c r="G1615" t="s">
        <v>1297</v>
      </c>
      <c r="H1615">
        <f>HYPERLINK("https://www.jouwictvacature.nl/solliciteren?job=medior-php-developer-bij-muntz", "Link")</f>
        <v/>
      </c>
      <c r="I1615" t="s">
        <v>17</v>
      </c>
      <c r="J1615" t="s">
        <v>18</v>
      </c>
      <c r="K1615" t="s">
        <v>344</v>
      </c>
      <c r="L1615" t="s">
        <v>1298</v>
      </c>
    </row>
    <row r="1616" spans="1:12">
      <c r="A1616" s="4" t="n">
        <v>43152</v>
      </c>
      <c r="B1616" t="s">
        <v>2066</v>
      </c>
      <c r="C1616" t="s">
        <v>509</v>
      </c>
      <c r="D1616" t="s">
        <v>14</v>
      </c>
      <c r="E1616" t="s">
        <v>51</v>
      </c>
      <c r="F1616" t="s">
        <v>28</v>
      </c>
      <c r="G1616" t="s">
        <v>2140</v>
      </c>
      <c r="H1616">
        <f>HYPERLINK("https://www.jouwictvacature.nl/solliciteren?job=senior-drupal-front-end-ontwikkelaar-english-bij-intrasurance-technolo", "Link")</f>
        <v/>
      </c>
      <c r="I1616" t="s">
        <v>17</v>
      </c>
      <c r="J1616" t="s">
        <v>18</v>
      </c>
      <c r="K1616" t="s">
        <v>2068</v>
      </c>
      <c r="L1616" t="s">
        <v>2141</v>
      </c>
    </row>
    <row r="1617" spans="1:12">
      <c r="A1617" s="4" t="n">
        <v>43152</v>
      </c>
      <c r="B1617" t="s">
        <v>668</v>
      </c>
      <c r="C1617" t="s">
        <v>522</v>
      </c>
      <c r="D1617" t="s">
        <v>22</v>
      </c>
      <c r="E1617" t="s">
        <v>51</v>
      </c>
      <c r="F1617" t="s">
        <v>16</v>
      </c>
      <c r="G1617" t="s">
        <v>1258</v>
      </c>
      <c r="H1617">
        <f>HYPERLINK("https://www.jouwictvacature.nl/solliciteren?job=front-end-developer-at-bizzdesign", "Link")</f>
        <v/>
      </c>
      <c r="I1617" t="s">
        <v>17</v>
      </c>
      <c r="J1617" t="s">
        <v>18</v>
      </c>
      <c r="K1617" t="s">
        <v>1259</v>
      </c>
      <c r="L1617" t="s">
        <v>1260</v>
      </c>
    </row>
    <row hidden="1" r="1618" s="1" spans="1:12">
      <c r="A1618" s="4" t="n">
        <v>43152</v>
      </c>
      <c r="B1618" t="s">
        <v>958</v>
      </c>
      <c r="C1618" t="s">
        <v>959</v>
      </c>
      <c r="D1618" t="s">
        <v>245</v>
      </c>
      <c r="E1618" t="s">
        <v>15</v>
      </c>
      <c r="F1618" t="s">
        <v>16</v>
      </c>
      <c r="G1618" t="s">
        <v>958</v>
      </c>
      <c r="H1618">
        <f>HYPERLINK("https://www.jouwictvacature.nl/solliciteren?job=medior-front-end-developer-bij-codarts-hogeschool-voor-de-kunsten-bij-", "Link")</f>
        <v/>
      </c>
      <c r="I1618" t="s">
        <v>17</v>
      </c>
      <c r="J1618" t="s">
        <v>18</v>
      </c>
      <c r="K1618" t="s">
        <v>960</v>
      </c>
      <c r="L1618" t="s">
        <v>961</v>
      </c>
    </row>
    <row hidden="1" r="1619" s="1" spans="1:12">
      <c r="A1619" s="4" t="n">
        <v>43152</v>
      </c>
      <c r="B1619" t="s">
        <v>823</v>
      </c>
      <c r="C1619" t="s">
        <v>806</v>
      </c>
      <c r="D1619" t="s">
        <v>22</v>
      </c>
      <c r="E1619" t="s">
        <v>15</v>
      </c>
      <c r="F1619" t="s">
        <v>16</v>
      </c>
      <c r="G1619" t="s">
        <v>823</v>
      </c>
      <c r="H1619">
        <f>HYPERLINK("https://www.jouwictvacature.nl/solliciteren?job=medior-front-end-developer-bij-appmachine-", "Link")</f>
        <v/>
      </c>
      <c r="I1619" t="s">
        <v>17</v>
      </c>
      <c r="J1619" t="s">
        <v>18</v>
      </c>
      <c r="K1619" t="s">
        <v>1031</v>
      </c>
      <c r="L1619" t="s">
        <v>1032</v>
      </c>
    </row>
    <row hidden="1" r="1620" s="1" spans="1:12">
      <c r="A1620" s="4" t="n">
        <v>43152</v>
      </c>
      <c r="B1620" t="s">
        <v>142</v>
      </c>
      <c r="C1620" t="s">
        <v>143</v>
      </c>
      <c r="D1620" t="s">
        <v>22</v>
      </c>
      <c r="E1620" t="s">
        <v>15</v>
      </c>
      <c r="F1620" t="s">
        <v>52</v>
      </c>
      <c r="G1620" t="s">
        <v>653</v>
      </c>
      <c r="H1620">
        <f>HYPERLINK("https://www.jouwictvacature.nl/solliciteren?job=senior-javascript-developer-2", "Link")</f>
        <v/>
      </c>
      <c r="I1620" t="s">
        <v>17</v>
      </c>
      <c r="J1620" t="s">
        <v>18</v>
      </c>
      <c r="K1620" t="s">
        <v>145</v>
      </c>
      <c r="L1620" t="s">
        <v>738</v>
      </c>
    </row>
    <row hidden="1" r="1621" s="1" spans="1:12">
      <c r="A1621" s="4" t="n">
        <v>43152</v>
      </c>
      <c r="B1621" t="s">
        <v>823</v>
      </c>
      <c r="C1621" t="s">
        <v>806</v>
      </c>
      <c r="D1621" t="s">
        <v>22</v>
      </c>
      <c r="E1621" t="s">
        <v>15</v>
      </c>
      <c r="F1621" t="s">
        <v>16</v>
      </c>
      <c r="G1621" t="s">
        <v>823</v>
      </c>
      <c r="H1621">
        <f>HYPERLINK("https://www.jouwictvacature.nl/solliciteren?job=medior-javascript-developer-bij-appmachine--2", "Link")</f>
        <v/>
      </c>
      <c r="I1621" t="s">
        <v>17</v>
      </c>
      <c r="J1621" t="s">
        <v>18</v>
      </c>
      <c r="K1621" t="s">
        <v>824</v>
      </c>
      <c r="L1621" t="s">
        <v>2142</v>
      </c>
    </row>
    <row hidden="1" r="1622" s="1" spans="1:12">
      <c r="A1622" s="4" t="n">
        <v>43152</v>
      </c>
      <c r="B1622" t="s">
        <v>1847</v>
      </c>
      <c r="C1622" t="s">
        <v>93</v>
      </c>
      <c r="D1622" t="s">
        <v>22</v>
      </c>
      <c r="E1622" t="s">
        <v>15</v>
      </c>
      <c r="F1622" t="s">
        <v>52</v>
      </c>
      <c r="G1622" t="s">
        <v>1851</v>
      </c>
      <c r="H1622">
        <f>HYPERLINK("https://www.jouwictvacature.nl/solliciteren?job=medior-javascript-ontwikkelaar-bij-dotcontrol", "Link")</f>
        <v/>
      </c>
      <c r="I1622" t="s">
        <v>17</v>
      </c>
      <c r="J1622" t="s">
        <v>18</v>
      </c>
      <c r="K1622" t="s">
        <v>1849</v>
      </c>
      <c r="L1622" t="s">
        <v>1852</v>
      </c>
    </row>
    <row hidden="1" r="1623" s="1" spans="1:12">
      <c r="A1623" s="4" t="n">
        <v>43152</v>
      </c>
      <c r="B1623" t="s">
        <v>1847</v>
      </c>
      <c r="C1623" t="s">
        <v>93</v>
      </c>
      <c r="D1623" t="s">
        <v>22</v>
      </c>
      <c r="E1623" t="s">
        <v>15</v>
      </c>
      <c r="F1623" t="s">
        <v>28</v>
      </c>
      <c r="G1623" t="s">
        <v>1855</v>
      </c>
      <c r="H1623">
        <f>HYPERLINK("https://www.jouwictvacature.nl/solliciteren?job=medior-creatieve-front-end-developer-2", "Link")</f>
        <v/>
      </c>
      <c r="I1623" t="s">
        <v>17</v>
      </c>
      <c r="J1623" t="s">
        <v>18</v>
      </c>
      <c r="K1623" t="s">
        <v>1849</v>
      </c>
      <c r="L1623" t="s">
        <v>1856</v>
      </c>
    </row>
    <row hidden="1" r="1624" s="1" spans="1:12">
      <c r="A1624" s="4" t="n">
        <v>43152</v>
      </c>
      <c r="B1624" t="s">
        <v>358</v>
      </c>
      <c r="C1624" t="s">
        <v>359</v>
      </c>
      <c r="D1624" t="s">
        <v>14</v>
      </c>
      <c r="E1624" t="s">
        <v>15</v>
      </c>
      <c r="F1624" t="s">
        <v>34</v>
      </c>
      <c r="G1624" t="s">
        <v>363</v>
      </c>
      <c r="H1624">
        <f>HYPERLINK("https://www.jouwictvacature.nl/solliciteren?job=junior-javascript-developer-bij-nobears", "Link")</f>
        <v/>
      </c>
      <c r="I1624" t="s">
        <v>17</v>
      </c>
      <c r="J1624" t="s">
        <v>18</v>
      </c>
      <c r="K1624" t="s">
        <v>361</v>
      </c>
      <c r="L1624" t="s">
        <v>364</v>
      </c>
    </row>
    <row r="1625" spans="1:12">
      <c r="A1625" s="4" t="n">
        <v>43152</v>
      </c>
      <c r="B1625" t="s">
        <v>1095</v>
      </c>
      <c r="C1625" t="s">
        <v>76</v>
      </c>
      <c r="D1625" t="s">
        <v>245</v>
      </c>
      <c r="E1625" t="s">
        <v>51</v>
      </c>
      <c r="F1625" t="s">
        <v>16</v>
      </c>
      <c r="G1625" t="s">
        <v>1095</v>
      </c>
      <c r="H1625">
        <f>HYPERLINK("https://www.jouwictvacature.nl/solliciteren?job=medior-javascript-developer-superbuddy-angularnodejs-", "Link")</f>
        <v/>
      </c>
      <c r="I1625" t="s">
        <v>17</v>
      </c>
      <c r="J1625" t="s">
        <v>18</v>
      </c>
      <c r="K1625" t="s">
        <v>1096</v>
      </c>
      <c r="L1625" t="s">
        <v>1983</v>
      </c>
    </row>
    <row hidden="1" r="1626" s="1" spans="1:12">
      <c r="A1626" s="4" t="n">
        <v>43152</v>
      </c>
      <c r="B1626" t="s">
        <v>273</v>
      </c>
      <c r="C1626" t="s">
        <v>274</v>
      </c>
      <c r="D1626" t="s">
        <v>14</v>
      </c>
      <c r="E1626" t="s">
        <v>15</v>
      </c>
      <c r="F1626" t="s">
        <v>52</v>
      </c>
      <c r="G1626" t="s">
        <v>907</v>
      </c>
      <c r="H1626">
        <f>HYPERLINK("https://www.jouwictvacature.nl/solliciteren?job=medior-tester-bij-instituut-fysieke-veiligheid", "Link")</f>
        <v/>
      </c>
      <c r="I1626" t="s">
        <v>17</v>
      </c>
      <c r="J1626" t="s">
        <v>18</v>
      </c>
      <c r="K1626" t="s">
        <v>908</v>
      </c>
      <c r="L1626" t="s">
        <v>909</v>
      </c>
    </row>
    <row hidden="1" r="1627" s="1" spans="1:12">
      <c r="A1627" s="4" t="n">
        <v>43152</v>
      </c>
      <c r="B1627" t="s">
        <v>843</v>
      </c>
      <c r="C1627" t="s">
        <v>45</v>
      </c>
      <c r="D1627" t="s">
        <v>245</v>
      </c>
      <c r="E1627" t="s">
        <v>15</v>
      </c>
      <c r="F1627" t="s">
        <v>34</v>
      </c>
      <c r="G1627" t="s">
        <v>2143</v>
      </c>
      <c r="H1627">
        <f>HYPERLINK("https://www.jouwictvacature.nl/solliciteren?job=junior-java-developer-bij-rivium", "Link")</f>
        <v/>
      </c>
      <c r="I1627" t="s">
        <v>17</v>
      </c>
      <c r="J1627" t="s">
        <v>18</v>
      </c>
      <c r="K1627" t="s">
        <v>845</v>
      </c>
      <c r="L1627" t="s">
        <v>2144</v>
      </c>
    </row>
    <row hidden="1" r="1628" s="1" spans="1:12">
      <c r="A1628" s="4" t="n">
        <v>43152</v>
      </c>
      <c r="B1628" t="s">
        <v>164</v>
      </c>
      <c r="C1628" t="s">
        <v>80</v>
      </c>
      <c r="D1628" t="s">
        <v>22</v>
      </c>
      <c r="E1628" t="s">
        <v>15</v>
      </c>
      <c r="F1628" t="s">
        <v>52</v>
      </c>
      <c r="G1628" t="s">
        <v>171</v>
      </c>
      <c r="H1628">
        <f>HYPERLINK("https://www.jouwictvacature.nl/solliciteren?job=medior-mobile-developer-in-amsterdam--iot-android-ios-iphone-sdk-bij-d", "Link")</f>
        <v/>
      </c>
      <c r="I1628" t="s">
        <v>17</v>
      </c>
      <c r="J1628" t="s">
        <v>18</v>
      </c>
      <c r="K1628" t="s">
        <v>172</v>
      </c>
      <c r="L1628" t="s">
        <v>173</v>
      </c>
    </row>
    <row hidden="1" r="1629" s="1" spans="1:12">
      <c r="A1629" s="4" t="n">
        <v>43152</v>
      </c>
      <c r="B1629" t="s">
        <v>71</v>
      </c>
      <c r="C1629" t="s">
        <v>76</v>
      </c>
      <c r="D1629" t="s">
        <v>22</v>
      </c>
      <c r="E1629" t="s">
        <v>15</v>
      </c>
      <c r="F1629" t="s">
        <v>28</v>
      </c>
      <c r="G1629" t="s">
        <v>1459</v>
      </c>
      <c r="H1629">
        <f>HYPERLINK("https://www.jouwictvacature.nl/solliciteren?job=senior-agile-test-specialist-bij-bartosz-bij-bartosz-zwolle", "Link")</f>
        <v/>
      </c>
      <c r="I1629" t="s">
        <v>17</v>
      </c>
      <c r="J1629" t="s">
        <v>18</v>
      </c>
      <c r="K1629" t="s">
        <v>91</v>
      </c>
      <c r="L1629" t="s">
        <v>1460</v>
      </c>
    </row>
    <row hidden="1" r="1630" s="1" spans="1:12">
      <c r="A1630" s="4" t="n">
        <v>43152</v>
      </c>
      <c r="B1630" t="s">
        <v>1433</v>
      </c>
      <c r="C1630" t="s">
        <v>726</v>
      </c>
      <c r="D1630" t="s">
        <v>22</v>
      </c>
      <c r="E1630" t="s">
        <v>15</v>
      </c>
      <c r="F1630" t="s">
        <v>52</v>
      </c>
      <c r="G1630" t="s">
        <v>2145</v>
      </c>
      <c r="H1630">
        <f>HYPERLINK("https://www.jouwictvacature.nl/solliciteren?job=medior-integratieconsultant-32-40-uur-bij-datacon", "Link")</f>
        <v/>
      </c>
      <c r="I1630" t="s">
        <v>17</v>
      </c>
      <c r="J1630" t="s">
        <v>18</v>
      </c>
      <c r="K1630" t="s">
        <v>2146</v>
      </c>
      <c r="L1630" t="s">
        <v>2147</v>
      </c>
    </row>
    <row hidden="1" r="1631" s="1" spans="1:12">
      <c r="A1631" s="4" t="n">
        <v>43152</v>
      </c>
      <c r="B1631" t="s">
        <v>427</v>
      </c>
      <c r="C1631" t="s">
        <v>428</v>
      </c>
      <c r="D1631" t="s">
        <v>245</v>
      </c>
      <c r="E1631" t="s">
        <v>15</v>
      </c>
      <c r="F1631" t="s">
        <v>34</v>
      </c>
      <c r="G1631" t="s">
        <v>429</v>
      </c>
      <c r="H1631">
        <f>HYPERLINK("https://www.jouwictvacature.nl/solliciteren?job=medior-full-stack-software-engineer--java-angularjs-postgres-eclipse-i", "Link")</f>
        <v/>
      </c>
      <c r="I1631" t="s">
        <v>17</v>
      </c>
      <c r="J1631" t="s">
        <v>18</v>
      </c>
      <c r="K1631" t="s">
        <v>430</v>
      </c>
      <c r="L1631" t="s">
        <v>431</v>
      </c>
    </row>
    <row hidden="1" r="1632" s="1" spans="1:12">
      <c r="A1632" s="4" t="n">
        <v>43152</v>
      </c>
      <c r="B1632" t="s">
        <v>1377</v>
      </c>
      <c r="C1632" t="s">
        <v>1378</v>
      </c>
      <c r="D1632" t="s">
        <v>22</v>
      </c>
      <c r="E1632" t="s">
        <v>15</v>
      </c>
      <c r="F1632" t="s">
        <v>52</v>
      </c>
      <c r="G1632" t="s">
        <v>2148</v>
      </c>
      <c r="H1632">
        <f>HYPERLINK("https://www.jouwictvacature.nl/solliciteren?job=medior-backend-developer-bij-gappless--java-go-rest-bij-gappless", "Link")</f>
        <v/>
      </c>
      <c r="I1632" t="s">
        <v>17</v>
      </c>
      <c r="J1632" t="s">
        <v>18</v>
      </c>
      <c r="K1632" t="s">
        <v>1810</v>
      </c>
      <c r="L1632" t="s">
        <v>2149</v>
      </c>
    </row>
    <row hidden="1" r="1633" s="1" spans="1:12">
      <c r="A1633" s="4" t="n">
        <v>43152</v>
      </c>
      <c r="B1633" t="s">
        <v>521</v>
      </c>
      <c r="C1633" t="s">
        <v>522</v>
      </c>
      <c r="D1633" t="s">
        <v>245</v>
      </c>
      <c r="E1633" t="s">
        <v>15</v>
      </c>
      <c r="F1633" t="s">
        <v>16</v>
      </c>
      <c r="G1633" t="s">
        <v>2150</v>
      </c>
      <c r="H1633">
        <f>HYPERLINK("https://www.jouwictvacature.nl/solliciteren?job=ervaren-back-end-developer--allround-programmeur-2", "Link")</f>
        <v/>
      </c>
      <c r="I1633" t="s">
        <v>17</v>
      </c>
      <c r="J1633" t="s">
        <v>18</v>
      </c>
      <c r="K1633" t="s">
        <v>524</v>
      </c>
      <c r="L1633" t="s">
        <v>2151</v>
      </c>
    </row>
    <row hidden="1" r="1634" s="1" spans="1:12">
      <c r="A1634" s="4" t="n">
        <v>43152</v>
      </c>
      <c r="B1634" t="s">
        <v>71</v>
      </c>
      <c r="C1634" t="s">
        <v>93</v>
      </c>
      <c r="D1634" t="s">
        <v>22</v>
      </c>
      <c r="E1634" t="s">
        <v>15</v>
      </c>
      <c r="F1634" t="s">
        <v>28</v>
      </c>
      <c r="G1634" t="s">
        <v>1215</v>
      </c>
      <c r="H1634">
        <f>HYPERLINK("https://www.jouwictvacature.nl/solliciteren?job=senior-testanalist-bij-bartosz-bij-bartosz-eindhoven-2", "Link")</f>
        <v/>
      </c>
      <c r="I1634" t="s">
        <v>17</v>
      </c>
      <c r="J1634" t="s">
        <v>18</v>
      </c>
      <c r="K1634" t="s">
        <v>95</v>
      </c>
      <c r="L1634" t="s">
        <v>1216</v>
      </c>
    </row>
    <row hidden="1" r="1635" s="1" spans="1:12">
      <c r="A1635" s="4" t="n">
        <v>43152</v>
      </c>
      <c r="B1635" t="s">
        <v>693</v>
      </c>
      <c r="C1635" t="s">
        <v>694</v>
      </c>
      <c r="D1635" t="s">
        <v>22</v>
      </c>
      <c r="E1635" t="s">
        <v>15</v>
      </c>
      <c r="F1635" t="s">
        <v>16</v>
      </c>
      <c r="G1635" t="s">
        <v>693</v>
      </c>
      <c r="H1635">
        <f>HYPERLINK("https://www.jouwictvacature.nl/solliciteren?job=junior-mendix-developer-bij-de-goudse", "Link")</f>
        <v/>
      </c>
      <c r="I1635" t="s">
        <v>17</v>
      </c>
      <c r="J1635" t="s">
        <v>18</v>
      </c>
      <c r="K1635" t="s">
        <v>994</v>
      </c>
      <c r="L1635" t="s">
        <v>1210</v>
      </c>
    </row>
    <row r="1636" spans="1:12">
      <c r="A1636" s="4" t="n">
        <v>43152</v>
      </c>
      <c r="B1636" t="s">
        <v>2040</v>
      </c>
      <c r="C1636" t="s">
        <v>2041</v>
      </c>
      <c r="D1636" t="s">
        <v>22</v>
      </c>
      <c r="E1636" t="s">
        <v>51</v>
      </c>
      <c r="F1636" t="s">
        <v>52</v>
      </c>
      <c r="G1636" t="s">
        <v>2042</v>
      </c>
      <c r="H1636">
        <f>HYPERLINK("https://www.jouwictvacature.nl/solliciteren?job=medior-developer-in-amsterdam--java-rdbms-postgresql-jboss-hibernate-b", "Link")</f>
        <v/>
      </c>
      <c r="I1636" t="s">
        <v>17</v>
      </c>
      <c r="J1636" t="s">
        <v>18</v>
      </c>
      <c r="K1636" t="s">
        <v>2043</v>
      </c>
      <c r="L1636" t="s">
        <v>2044</v>
      </c>
    </row>
    <row hidden="1" r="1637" s="1" spans="1:12">
      <c r="A1637" s="4" t="n">
        <v>43152</v>
      </c>
      <c r="B1637" t="s">
        <v>196</v>
      </c>
      <c r="C1637" t="s">
        <v>197</v>
      </c>
      <c r="D1637" t="s">
        <v>22</v>
      </c>
      <c r="E1637" t="s">
        <v>15</v>
      </c>
      <c r="F1637" t="s">
        <v>34</v>
      </c>
      <c r="G1637" t="s">
        <v>1660</v>
      </c>
      <c r="H1637">
        <f>HYPERLINK("https://www.jouwictvacature.nl/solliciteren?job=junior-c-net--reactjs-developer-bij-easyads--net--reactjs--nodejs", "Link")</f>
        <v/>
      </c>
      <c r="I1637" t="s">
        <v>17</v>
      </c>
      <c r="J1637" t="s">
        <v>18</v>
      </c>
      <c r="K1637" t="s">
        <v>199</v>
      </c>
      <c r="L1637" t="s">
        <v>1661</v>
      </c>
    </row>
    <row hidden="1" r="1638" s="1" spans="1:12">
      <c r="A1638" s="4" t="n">
        <v>43152</v>
      </c>
      <c r="B1638" t="s">
        <v>865</v>
      </c>
      <c r="C1638" t="s">
        <v>866</v>
      </c>
      <c r="D1638" t="s">
        <v>245</v>
      </c>
      <c r="E1638" t="s">
        <v>15</v>
      </c>
      <c r="F1638" t="s">
        <v>16</v>
      </c>
      <c r="G1638" t="s">
        <v>865</v>
      </c>
      <c r="H1638">
        <f>HYPERLINK("https://www.jouwictvacature.nl/solliciteren?job=vacature-traineeship-technical-consultant-erp", "Link")</f>
        <v/>
      </c>
      <c r="I1638" t="s">
        <v>17</v>
      </c>
      <c r="J1638" t="s">
        <v>18</v>
      </c>
      <c r="K1638" t="s">
        <v>2084</v>
      </c>
      <c r="L1638" t="s">
        <v>2085</v>
      </c>
    </row>
    <row hidden="1" r="1639" s="1" spans="1:12">
      <c r="A1639" s="4" t="n">
        <v>43152</v>
      </c>
      <c r="B1639" t="s">
        <v>109</v>
      </c>
      <c r="C1639" t="s">
        <v>112</v>
      </c>
      <c r="D1639" t="s">
        <v>22</v>
      </c>
      <c r="E1639" t="s">
        <v>15</v>
      </c>
      <c r="F1639" t="s">
        <v>16</v>
      </c>
      <c r="G1639" t="s">
        <v>109</v>
      </c>
      <c r="H1639">
        <f>HYPERLINK("https://www.jouwictvacature.nl/solliciteren?job=senior-net-developer-bij-bloemert-groep", "Link")</f>
        <v/>
      </c>
      <c r="I1639" t="s">
        <v>17</v>
      </c>
      <c r="J1639" t="s">
        <v>18</v>
      </c>
      <c r="K1639" t="s">
        <v>990</v>
      </c>
      <c r="L1639" t="s">
        <v>991</v>
      </c>
    </row>
    <row hidden="1" r="1640" s="1" spans="1:12">
      <c r="A1640" s="4" t="n">
        <v>43152</v>
      </c>
      <c r="B1640" t="s">
        <v>785</v>
      </c>
      <c r="C1640" t="s">
        <v>522</v>
      </c>
      <c r="D1640" t="s">
        <v>22</v>
      </c>
      <c r="E1640" t="s">
        <v>15</v>
      </c>
      <c r="F1640" t="s">
        <v>16</v>
      </c>
      <c r="G1640" t="s">
        <v>785</v>
      </c>
      <c r="H1640">
        <f>HYPERLINK("https://www.jouwictvacature.nl/solliciteren?job=software-engineer-bij-ecare-2", "Link")</f>
        <v/>
      </c>
      <c r="I1640" t="s">
        <v>17</v>
      </c>
      <c r="J1640" t="s">
        <v>18</v>
      </c>
      <c r="K1640" t="s">
        <v>1478</v>
      </c>
      <c r="L1640" t="s">
        <v>1925</v>
      </c>
    </row>
    <row hidden="1" r="1641" s="1" spans="1:12">
      <c r="A1641" s="4" t="n">
        <v>43152</v>
      </c>
      <c r="B1641" t="s">
        <v>2059</v>
      </c>
      <c r="C1641" t="s">
        <v>2060</v>
      </c>
      <c r="D1641" t="s">
        <v>14</v>
      </c>
      <c r="E1641" t="s">
        <v>15</v>
      </c>
      <c r="F1641" t="s">
        <v>16</v>
      </c>
      <c r="G1641" t="s">
        <v>2059</v>
      </c>
      <c r="H1641">
        <f>HYPERLINK("https://www.jouwictvacature.nl/solliciteren?job=gedreven-developer-met-teamlead-ambities", "Link")</f>
        <v/>
      </c>
      <c r="I1641" t="s">
        <v>17</v>
      </c>
      <c r="J1641" t="s">
        <v>18</v>
      </c>
      <c r="K1641" t="s">
        <v>2152</v>
      </c>
      <c r="L1641" t="s">
        <v>2153</v>
      </c>
    </row>
    <row hidden="1" r="1642" s="1" spans="1:12">
      <c r="A1642" s="4" t="n">
        <v>43152</v>
      </c>
      <c r="B1642" t="s">
        <v>574</v>
      </c>
      <c r="C1642" t="s">
        <v>575</v>
      </c>
      <c r="D1642" t="s">
        <v>245</v>
      </c>
      <c r="E1642" t="s">
        <v>15</v>
      </c>
      <c r="F1642" t="s">
        <v>16</v>
      </c>
      <c r="G1642" t="s">
        <v>574</v>
      </c>
      <c r="H1642">
        <f>HYPERLINK("https://www.jouwictvacature.nl/solliciteren?job=junior-xamarin-ontwikkelaar-bij-webbeat-bij-webbeat", "Link")</f>
        <v/>
      </c>
      <c r="I1642" t="s">
        <v>17</v>
      </c>
      <c r="J1642" t="s">
        <v>18</v>
      </c>
      <c r="K1642" t="s">
        <v>910</v>
      </c>
      <c r="L1642" t="s">
        <v>2154</v>
      </c>
    </row>
    <row r="1643" spans="1:12">
      <c r="A1643" s="4" t="n">
        <v>43152</v>
      </c>
      <c r="B1643" t="s">
        <v>2066</v>
      </c>
      <c r="C1643" t="s">
        <v>2103</v>
      </c>
      <c r="D1643" t="s">
        <v>14</v>
      </c>
      <c r="E1643" t="s">
        <v>51</v>
      </c>
      <c r="F1643" t="s">
        <v>28</v>
      </c>
      <c r="G1643" t="s">
        <v>2104</v>
      </c>
      <c r="H1643">
        <f>HYPERLINK("https://www.jouwictvacature.nl/solliciteren?job=senior-front-end-developer-met-reactjs-english-", "Link")</f>
        <v/>
      </c>
      <c r="I1643" t="s">
        <v>17</v>
      </c>
      <c r="J1643" t="s">
        <v>18</v>
      </c>
      <c r="K1643" t="s">
        <v>2105</v>
      </c>
      <c r="L1643" t="s">
        <v>2106</v>
      </c>
    </row>
    <row r="1644" spans="1:12">
      <c r="A1644" s="4" t="n">
        <v>43152</v>
      </c>
      <c r="B1644" t="s">
        <v>963</v>
      </c>
      <c r="C1644" t="s">
        <v>38</v>
      </c>
      <c r="D1644" t="s">
        <v>14</v>
      </c>
      <c r="E1644" t="s">
        <v>51</v>
      </c>
      <c r="F1644" t="s">
        <v>52</v>
      </c>
      <c r="G1644" t="s">
        <v>318</v>
      </c>
      <c r="H1644">
        <f>HYPERLINK("https://www.jouwictvacature.nl/solliciteren?job=medior-front-end-developer-bij-pyton-an-amadeus-company", "Link")</f>
        <v/>
      </c>
      <c r="I1644" t="s">
        <v>17</v>
      </c>
      <c r="J1644" t="s">
        <v>18</v>
      </c>
      <c r="K1644" t="s">
        <v>2155</v>
      </c>
      <c r="L1644" t="s">
        <v>2156</v>
      </c>
    </row>
    <row hidden="1" r="1645" s="1" spans="1:12">
      <c r="A1645" s="4" t="n">
        <v>43152</v>
      </c>
      <c r="B1645" t="s">
        <v>1235</v>
      </c>
      <c r="C1645" t="s">
        <v>1236</v>
      </c>
      <c r="D1645" t="s">
        <v>245</v>
      </c>
      <c r="E1645" t="s">
        <v>15</v>
      </c>
      <c r="F1645" t="s">
        <v>16</v>
      </c>
      <c r="G1645" t="s">
        <v>1456</v>
      </c>
      <c r="H1645">
        <f>HYPERLINK("https://www.jouwictvacature.nl/solliciteren?job=gemotiveerde-net-developer-bij-rovict", "Link")</f>
        <v/>
      </c>
      <c r="I1645" t="s">
        <v>17</v>
      </c>
      <c r="J1645" t="s">
        <v>18</v>
      </c>
      <c r="K1645" t="s">
        <v>1238</v>
      </c>
      <c r="L1645" t="s">
        <v>1457</v>
      </c>
    </row>
    <row hidden="1" r="1646" s="1" spans="1:12">
      <c r="A1646" s="4" t="n">
        <v>43152</v>
      </c>
      <c r="B1646" t="s">
        <v>618</v>
      </c>
      <c r="C1646" t="s">
        <v>619</v>
      </c>
      <c r="D1646" t="s">
        <v>22</v>
      </c>
      <c r="E1646" t="s">
        <v>15</v>
      </c>
      <c r="F1646" t="s">
        <v>28</v>
      </c>
      <c r="G1646" t="s">
        <v>2157</v>
      </c>
      <c r="H1646">
        <f>HYPERLINK("https://www.jouwictvacature.nl/solliciteren?job=senior-developer-applicaties-voor-mooie-klanten-als-de-efteling--nemo-", "Link")</f>
        <v/>
      </c>
      <c r="I1646" t="s">
        <v>17</v>
      </c>
      <c r="J1646" t="s">
        <v>18</v>
      </c>
      <c r="K1646" t="s">
        <v>621</v>
      </c>
      <c r="L1646" t="s">
        <v>2158</v>
      </c>
    </row>
    <row hidden="1" r="1647" s="1" spans="1:12">
      <c r="A1647" s="4" t="n">
        <v>43152</v>
      </c>
      <c r="B1647" t="s">
        <v>2159</v>
      </c>
      <c r="C1647" t="s">
        <v>309</v>
      </c>
      <c r="D1647" t="s">
        <v>245</v>
      </c>
      <c r="E1647" t="s">
        <v>15</v>
      </c>
      <c r="F1647" t="s">
        <v>16</v>
      </c>
      <c r="G1647" t="s">
        <v>2160</v>
      </c>
      <c r="H1647">
        <f>HYPERLINK("https://www.jouwictvacature.nl/solliciteren?job=php-developer-bij-future-of-finance", "Link")</f>
        <v/>
      </c>
      <c r="I1647" t="s">
        <v>17</v>
      </c>
      <c r="J1647" t="s">
        <v>18</v>
      </c>
      <c r="K1647" t="s">
        <v>2161</v>
      </c>
      <c r="L1647" t="s">
        <v>2162</v>
      </c>
    </row>
    <row hidden="1" r="1648" s="1" spans="1:12">
      <c r="A1648" s="4" t="n">
        <v>43152</v>
      </c>
      <c r="B1648" t="s">
        <v>634</v>
      </c>
      <c r="C1648" t="s">
        <v>635</v>
      </c>
      <c r="D1648" t="s">
        <v>22</v>
      </c>
      <c r="E1648" t="s">
        <v>15</v>
      </c>
      <c r="F1648" t="s">
        <v>34</v>
      </c>
      <c r="G1648" t="s">
        <v>810</v>
      </c>
      <c r="H1648">
        <f>HYPERLINK("https://www.jouwictvacature.nl/solliciteren?job=junior-php-wordpress-developer-bij-bureau-vet", "Link")</f>
        <v/>
      </c>
      <c r="I1648" t="s">
        <v>17</v>
      </c>
      <c r="J1648" t="s">
        <v>18</v>
      </c>
      <c r="K1648" t="s">
        <v>811</v>
      </c>
      <c r="L1648" t="s">
        <v>812</v>
      </c>
    </row>
    <row hidden="1" r="1649" s="1" spans="1:12">
      <c r="A1649" s="4" t="n">
        <v>43152</v>
      </c>
      <c r="B1649" t="s">
        <v>278</v>
      </c>
      <c r="C1649" t="s">
        <v>279</v>
      </c>
      <c r="D1649" t="s">
        <v>14</v>
      </c>
      <c r="E1649" t="s">
        <v>15</v>
      </c>
      <c r="F1649" t="s">
        <v>16</v>
      </c>
      <c r="G1649" t="s">
        <v>1747</v>
      </c>
      <c r="H1649">
        <f>HYPERLINK("https://www.jouwictvacature.nl/solliciteren?job=gedreven-senior-php--magento-developer-bij-topwerkgever--2", "Link")</f>
        <v/>
      </c>
      <c r="I1649" t="s">
        <v>17</v>
      </c>
      <c r="J1649" t="s">
        <v>18</v>
      </c>
      <c r="K1649" t="s">
        <v>651</v>
      </c>
      <c r="L1649" t="s">
        <v>1748</v>
      </c>
    </row>
    <row hidden="1" r="1650" s="1" spans="1:12">
      <c r="A1650" s="4" t="n">
        <v>43152</v>
      </c>
      <c r="B1650" t="s">
        <v>293</v>
      </c>
      <c r="C1650" t="s">
        <v>294</v>
      </c>
      <c r="D1650" t="s">
        <v>14</v>
      </c>
      <c r="E1650" t="s">
        <v>15</v>
      </c>
      <c r="F1650" t="s">
        <v>16</v>
      </c>
      <c r="G1650" t="s">
        <v>1301</v>
      </c>
      <c r="H1650">
        <f>HYPERLINK("https://www.jouwictvacature.nl/solliciteren?job=php-developer--fulltime", "Link")</f>
        <v/>
      </c>
      <c r="I1650" t="s">
        <v>17</v>
      </c>
      <c r="J1650" t="s">
        <v>18</v>
      </c>
      <c r="K1650" t="s">
        <v>1302</v>
      </c>
      <c r="L1650" t="s">
        <v>1303</v>
      </c>
    </row>
    <row hidden="1" r="1651" s="1" spans="1:12">
      <c r="A1651" s="4" t="n">
        <v>43152</v>
      </c>
      <c r="B1651" t="s">
        <v>2016</v>
      </c>
      <c r="C1651" t="s">
        <v>2017</v>
      </c>
      <c r="D1651" t="s">
        <v>22</v>
      </c>
      <c r="E1651" t="s">
        <v>15</v>
      </c>
      <c r="F1651" t="s">
        <v>16</v>
      </c>
      <c r="G1651" t="s">
        <v>2016</v>
      </c>
      <c r="H1651">
        <f>HYPERLINK("https://www.jouwictvacature.nl/solliciteren?job=nodejs-developer-met-php-ervaring-", "Link")</f>
        <v/>
      </c>
      <c r="I1651" t="s">
        <v>17</v>
      </c>
      <c r="J1651" t="s">
        <v>18</v>
      </c>
      <c r="K1651" t="s">
        <v>2163</v>
      </c>
      <c r="L1651" t="s">
        <v>2164</v>
      </c>
    </row>
    <row hidden="1" r="1652" s="1" spans="1:12">
      <c r="A1652" s="4" t="n">
        <v>43152</v>
      </c>
      <c r="B1652" t="s">
        <v>478</v>
      </c>
      <c r="C1652" t="s">
        <v>479</v>
      </c>
      <c r="D1652" t="s">
        <v>245</v>
      </c>
      <c r="E1652" t="s">
        <v>15</v>
      </c>
      <c r="F1652" t="s">
        <v>16</v>
      </c>
      <c r="G1652" t="s">
        <v>1304</v>
      </c>
      <c r="H1652">
        <f>HYPERLINK("https://www.jouwictvacature.nl/solliciteren?job=gedreven-senior-php-developer-met-ervaring-gezocht-bij-square", "Link")</f>
        <v/>
      </c>
      <c r="I1652" t="s">
        <v>17</v>
      </c>
      <c r="J1652" t="s">
        <v>18</v>
      </c>
      <c r="K1652" t="s">
        <v>484</v>
      </c>
      <c r="L1652" t="s">
        <v>1305</v>
      </c>
    </row>
    <row hidden="1" r="1653" s="1" spans="1:12">
      <c r="A1653" s="4" t="n">
        <v>43152</v>
      </c>
      <c r="B1653" t="s">
        <v>2004</v>
      </c>
      <c r="C1653" t="s">
        <v>1670</v>
      </c>
      <c r="D1653" t="s">
        <v>245</v>
      </c>
      <c r="E1653" t="s">
        <v>15</v>
      </c>
      <c r="F1653" t="s">
        <v>52</v>
      </c>
      <c r="G1653" t="s">
        <v>594</v>
      </c>
      <c r="H1653">
        <f>HYPERLINK("https://www.jouwictvacature.nl/solliciteren?job=medior-fullstack-developer-2", "Link")</f>
        <v/>
      </c>
      <c r="I1653" t="s">
        <v>17</v>
      </c>
      <c r="J1653" t="s">
        <v>18</v>
      </c>
      <c r="K1653" t="s">
        <v>2005</v>
      </c>
      <c r="L1653" t="s">
        <v>2006</v>
      </c>
    </row>
    <row hidden="1" r="1654" s="1" spans="1:12">
      <c r="A1654" s="4" t="n">
        <v>43152</v>
      </c>
      <c r="B1654" t="s">
        <v>354</v>
      </c>
      <c r="C1654" t="s">
        <v>50</v>
      </c>
      <c r="D1654" t="s">
        <v>14</v>
      </c>
      <c r="E1654" t="s">
        <v>15</v>
      </c>
      <c r="F1654" t="s">
        <v>16</v>
      </c>
      <c r="G1654" t="s">
        <v>939</v>
      </c>
      <c r="H1654">
        <f>HYPERLINK("https://www.jouwictvacature.nl/solliciteren?job=-back-end-wordpress-developer", "Link")</f>
        <v/>
      </c>
      <c r="I1654" t="s">
        <v>17</v>
      </c>
      <c r="J1654" t="s">
        <v>18</v>
      </c>
      <c r="K1654" t="s">
        <v>940</v>
      </c>
      <c r="L1654" t="s">
        <v>941</v>
      </c>
    </row>
    <row hidden="1" r="1655" s="1" spans="1:12">
      <c r="A1655" s="4" t="n">
        <v>43152</v>
      </c>
      <c r="B1655" t="s">
        <v>942</v>
      </c>
      <c r="C1655" t="s">
        <v>943</v>
      </c>
      <c r="D1655" t="s">
        <v>245</v>
      </c>
      <c r="E1655" t="s">
        <v>15</v>
      </c>
      <c r="F1655" t="s">
        <v>52</v>
      </c>
      <c r="G1655" t="s">
        <v>944</v>
      </c>
      <c r="H1655">
        <f>HYPERLINK("https://www.jouwictvacature.nl/solliciteren?job=junior-php-webdeveloper-4", "Link")</f>
        <v/>
      </c>
      <c r="I1655" t="s">
        <v>17</v>
      </c>
      <c r="J1655" t="s">
        <v>18</v>
      </c>
      <c r="K1655" t="s">
        <v>945</v>
      </c>
      <c r="L1655" t="s">
        <v>946</v>
      </c>
    </row>
    <row hidden="1" r="1656" s="1" spans="1:12">
      <c r="A1656" s="4" t="n">
        <v>43152</v>
      </c>
      <c r="B1656" t="s">
        <v>719</v>
      </c>
      <c r="C1656" t="s">
        <v>93</v>
      </c>
      <c r="D1656" t="s">
        <v>245</v>
      </c>
      <c r="E1656" t="s">
        <v>15</v>
      </c>
      <c r="F1656" t="s">
        <v>52</v>
      </c>
      <c r="G1656" t="s">
        <v>1080</v>
      </c>
      <c r="H1656">
        <f>HYPERLINK("https://www.jouwictvacature.nl/solliciteren?job=medior-laravel-back-end-developer-bij-23g", "Link")</f>
        <v/>
      </c>
      <c r="I1656" t="s">
        <v>17</v>
      </c>
      <c r="J1656" t="s">
        <v>18</v>
      </c>
      <c r="K1656" t="s">
        <v>721</v>
      </c>
      <c r="L1656" t="s">
        <v>1081</v>
      </c>
    </row>
    <row hidden="1" r="1657" s="1" spans="1:12">
      <c r="A1657" s="4" t="n">
        <v>43152</v>
      </c>
      <c r="B1657" t="s">
        <v>136</v>
      </c>
      <c r="C1657" t="s">
        <v>137</v>
      </c>
      <c r="D1657" t="s">
        <v>22</v>
      </c>
      <c r="E1657" t="s">
        <v>15</v>
      </c>
      <c r="F1657" t="s">
        <v>16</v>
      </c>
      <c r="G1657" t="s">
        <v>138</v>
      </c>
      <c r="H1657">
        <f>HYPERLINK("https://www.jouwictvacature.nl/solliciteren?job=senior-software-engineer-bij-cgi", "Link")</f>
        <v/>
      </c>
      <c r="I1657" t="s">
        <v>17</v>
      </c>
      <c r="J1657" t="s">
        <v>18</v>
      </c>
      <c r="K1657" t="s">
        <v>139</v>
      </c>
      <c r="L1657" t="s">
        <v>141</v>
      </c>
    </row>
    <row hidden="1" r="1658" s="1" spans="1:12">
      <c r="A1658" s="4" t="n">
        <v>43152</v>
      </c>
      <c r="B1658" t="s">
        <v>332</v>
      </c>
      <c r="C1658" t="s">
        <v>333</v>
      </c>
      <c r="D1658" t="s">
        <v>14</v>
      </c>
      <c r="E1658" t="s">
        <v>15</v>
      </c>
      <c r="F1658" t="s">
        <v>34</v>
      </c>
      <c r="G1658" t="s">
        <v>339</v>
      </c>
      <c r="H1658">
        <f>HYPERLINK("https://www.jouwictvacature.nl/solliciteren?job=junior-fullstack-developer-focus-op-front-end-bij-mplus", "Link")</f>
        <v/>
      </c>
      <c r="I1658" t="s">
        <v>17</v>
      </c>
      <c r="J1658" t="s">
        <v>18</v>
      </c>
      <c r="K1658" t="s">
        <v>340</v>
      </c>
      <c r="L1658" t="s">
        <v>341</v>
      </c>
    </row>
    <row hidden="1" r="1659" s="1" spans="1:12">
      <c r="A1659" s="4" t="n">
        <v>43152</v>
      </c>
      <c r="B1659" t="s">
        <v>273</v>
      </c>
      <c r="C1659" t="s">
        <v>274</v>
      </c>
      <c r="D1659" t="s">
        <v>14</v>
      </c>
      <c r="E1659" t="s">
        <v>15</v>
      </c>
      <c r="F1659" t="s">
        <v>34</v>
      </c>
      <c r="G1659" t="s">
        <v>2165</v>
      </c>
      <c r="H1659">
        <f>HYPERLINK("https://www.jouwictvacature.nl/solliciteren?job=junior-tester-bij-instituut-fysieke-veiligheid", "Link")</f>
        <v/>
      </c>
      <c r="I1659" t="s">
        <v>17</v>
      </c>
      <c r="J1659" t="s">
        <v>18</v>
      </c>
      <c r="K1659" t="s">
        <v>908</v>
      </c>
      <c r="L1659" t="s">
        <v>2166</v>
      </c>
    </row>
    <row hidden="1" r="1660" s="1" spans="1:12">
      <c r="A1660" s="4" t="n">
        <v>43152</v>
      </c>
      <c r="B1660" t="s">
        <v>358</v>
      </c>
      <c r="C1660" t="s">
        <v>359</v>
      </c>
      <c r="D1660" t="s">
        <v>14</v>
      </c>
      <c r="E1660" t="s">
        <v>15</v>
      </c>
      <c r="F1660" t="s">
        <v>52</v>
      </c>
      <c r="G1660" t="s">
        <v>594</v>
      </c>
      <c r="H1660">
        <f>HYPERLINK("https://www.jouwictvacature.nl/solliciteren?job=medior-fullstack-developer-bij-nobears", "Link")</f>
        <v/>
      </c>
      <c r="I1660" t="s">
        <v>17</v>
      </c>
      <c r="J1660" t="s">
        <v>18</v>
      </c>
      <c r="K1660" t="s">
        <v>361</v>
      </c>
      <c r="L1660" t="s">
        <v>826</v>
      </c>
    </row>
    <row hidden="1" r="1661" s="1" spans="1:12">
      <c r="A1661" s="4" t="n">
        <v>43152</v>
      </c>
      <c r="B1661" t="s">
        <v>1556</v>
      </c>
      <c r="C1661" t="s">
        <v>1557</v>
      </c>
      <c r="D1661" t="s">
        <v>14</v>
      </c>
      <c r="E1661" t="s">
        <v>15</v>
      </c>
      <c r="F1661" t="s">
        <v>16</v>
      </c>
      <c r="G1661" t="s">
        <v>1556</v>
      </c>
      <c r="H1661">
        <f>HYPERLINK("https://www.jouwictvacature.nl/solliciteren?job=junior-javascript-developer-bij-minox", "Link")</f>
        <v/>
      </c>
      <c r="I1661" t="s">
        <v>17</v>
      </c>
      <c r="J1661" t="s">
        <v>18</v>
      </c>
      <c r="K1661" t="s">
        <v>1558</v>
      </c>
      <c r="L1661" t="s">
        <v>2167</v>
      </c>
    </row>
    <row hidden="1" r="1662" s="1" spans="1:12">
      <c r="A1662" s="4" t="n">
        <v>43152</v>
      </c>
      <c r="B1662" t="s">
        <v>304</v>
      </c>
      <c r="C1662" t="s">
        <v>305</v>
      </c>
      <c r="D1662" t="s">
        <v>14</v>
      </c>
      <c r="E1662" t="s">
        <v>15</v>
      </c>
      <c r="F1662" t="s">
        <v>16</v>
      </c>
      <c r="G1662" t="s">
        <v>304</v>
      </c>
      <c r="H1662">
        <f>HYPERLINK("https://www.jouwictvacature.nl/solliciteren?job=nodejs-software-engineer-bij-ksyos", "Link")</f>
        <v/>
      </c>
      <c r="I1662" t="s">
        <v>17</v>
      </c>
      <c r="J1662" t="s">
        <v>18</v>
      </c>
      <c r="K1662" t="s">
        <v>306</v>
      </c>
      <c r="L1662" t="s">
        <v>2168</v>
      </c>
    </row>
    <row r="1663" spans="1:12">
      <c r="A1663" s="4" t="n">
        <v>43152</v>
      </c>
      <c r="B1663" t="s">
        <v>1413</v>
      </c>
      <c r="C1663" t="s">
        <v>137</v>
      </c>
      <c r="D1663" t="s">
        <v>22</v>
      </c>
      <c r="E1663" t="s">
        <v>51</v>
      </c>
      <c r="F1663" t="s">
        <v>16</v>
      </c>
      <c r="G1663" t="s">
        <v>1413</v>
      </c>
      <c r="H1663">
        <f>HYPERLINK("https://www.jouwictvacature.nl/solliciteren?job=medior-nodejs-developer-bij-crowdynews", "Link")</f>
        <v/>
      </c>
      <c r="I1663" t="s">
        <v>17</v>
      </c>
      <c r="J1663" t="s">
        <v>18</v>
      </c>
      <c r="K1663" t="s">
        <v>2169</v>
      </c>
      <c r="L1663" t="s">
        <v>2170</v>
      </c>
    </row>
    <row hidden="1" r="1664" s="1" spans="1:12">
      <c r="A1664" s="4" t="n">
        <v>43152</v>
      </c>
      <c r="B1664" t="s">
        <v>136</v>
      </c>
      <c r="C1664" t="s">
        <v>137</v>
      </c>
      <c r="D1664" t="s">
        <v>22</v>
      </c>
      <c r="E1664" t="s">
        <v>15</v>
      </c>
      <c r="F1664" t="s">
        <v>16</v>
      </c>
      <c r="G1664" t="s">
        <v>138</v>
      </c>
      <c r="H1664">
        <f>HYPERLINK("https://www.jouwictvacature.nl/solliciteren?job=medior-software-engineer-bij-cgi", "Link")</f>
        <v/>
      </c>
      <c r="I1664" t="s">
        <v>17</v>
      </c>
      <c r="J1664" t="s">
        <v>18</v>
      </c>
      <c r="K1664" t="s">
        <v>139</v>
      </c>
      <c r="L1664" t="s">
        <v>1629</v>
      </c>
    </row>
    <row r="1665" spans="1:12">
      <c r="A1665" s="4" t="n">
        <v>43152</v>
      </c>
      <c r="B1665" t="s">
        <v>1453</v>
      </c>
      <c r="C1665" t="s">
        <v>93</v>
      </c>
      <c r="D1665" t="s">
        <v>14</v>
      </c>
      <c r="E1665" t="s">
        <v>51</v>
      </c>
      <c r="F1665" t="s">
        <v>52</v>
      </c>
      <c r="G1665" t="s">
        <v>1528</v>
      </c>
      <c r="H1665">
        <f>HYPERLINK("https://www.jouwictvacature.nl/solliciteren?job=medior-full-stack-developer-bij-lequest", "Link")</f>
        <v/>
      </c>
      <c r="I1665" t="s">
        <v>17</v>
      </c>
      <c r="J1665" t="s">
        <v>18</v>
      </c>
      <c r="K1665" t="s">
        <v>1529</v>
      </c>
      <c r="L1665" t="s">
        <v>1530</v>
      </c>
    </row>
    <row hidden="1" r="1666" s="1" spans="1:12">
      <c r="A1666" s="4" t="n">
        <v>43152</v>
      </c>
      <c r="B1666" t="s">
        <v>1099</v>
      </c>
      <c r="C1666" t="s">
        <v>1100</v>
      </c>
      <c r="D1666" t="s">
        <v>22</v>
      </c>
      <c r="E1666" t="s">
        <v>15</v>
      </c>
      <c r="F1666" t="s">
        <v>34</v>
      </c>
      <c r="G1666" t="s">
        <v>2171</v>
      </c>
      <c r="H1666">
        <f>HYPERLINK("https://www.jouwictvacature.nl/solliciteren?job=junior-javascript-developer-bij-funatic", "Link")</f>
        <v/>
      </c>
      <c r="I1666" t="s">
        <v>17</v>
      </c>
      <c r="J1666" t="s">
        <v>18</v>
      </c>
      <c r="K1666" t="s">
        <v>1102</v>
      </c>
      <c r="L1666" t="s">
        <v>2172</v>
      </c>
    </row>
    <row hidden="1" r="1667" s="1" spans="1:12">
      <c r="A1667" s="4" t="n">
        <v>43162</v>
      </c>
      <c r="B1667" t="s">
        <v>450</v>
      </c>
      <c r="C1667" t="s">
        <v>451</v>
      </c>
      <c r="D1667" t="s">
        <v>245</v>
      </c>
      <c r="E1667" t="s">
        <v>15</v>
      </c>
      <c r="F1667" t="s">
        <v>52</v>
      </c>
      <c r="G1667" t="s">
        <v>1501</v>
      </c>
      <c r="H1667">
        <f>HYPERLINK("https://www.jouwictvacature.nl/solliciteren?job=medior-javaweb-developer-in-automotive-sector--ms-sql-oracle-jsp", "Link")</f>
        <v/>
      </c>
      <c r="I1667" t="s">
        <v>17</v>
      </c>
      <c r="J1667" t="s">
        <v>18</v>
      </c>
      <c r="K1667" t="s">
        <v>453</v>
      </c>
      <c r="L1667" t="s">
        <v>1502</v>
      </c>
    </row>
    <row hidden="1" r="1668" s="1" spans="1:12">
      <c r="A1668" s="4" t="n">
        <v>43162</v>
      </c>
      <c r="B1668" t="s">
        <v>71</v>
      </c>
      <c r="C1668" t="s">
        <v>62</v>
      </c>
      <c r="D1668" t="s">
        <v>22</v>
      </c>
      <c r="E1668" t="s">
        <v>15</v>
      </c>
      <c r="F1668" t="s">
        <v>28</v>
      </c>
      <c r="G1668" t="s">
        <v>1897</v>
      </c>
      <c r="H1668">
        <f>HYPERLINK("https://www.jouwictvacature.nl/solliciteren?job=senior-testanalist-bij-bartosz-bij-bartosz-utrecht", "Link")</f>
        <v/>
      </c>
      <c r="I1668" t="s">
        <v>17</v>
      </c>
      <c r="J1668" t="s">
        <v>18</v>
      </c>
      <c r="K1668" t="s">
        <v>95</v>
      </c>
      <c r="L1668" t="s">
        <v>2173</v>
      </c>
    </row>
    <row hidden="1" r="1669" s="1" spans="1:12">
      <c r="A1669" s="4" t="n">
        <v>43162</v>
      </c>
      <c r="B1669" t="s">
        <v>174</v>
      </c>
      <c r="C1669" t="s">
        <v>62</v>
      </c>
      <c r="D1669" t="s">
        <v>22</v>
      </c>
      <c r="E1669" t="s">
        <v>15</v>
      </c>
      <c r="F1669" t="s">
        <v>28</v>
      </c>
      <c r="G1669" t="s">
        <v>1771</v>
      </c>
      <c r="H1669">
        <f>HYPERLINK("https://www.jouwictvacature.nl/solliciteren?job=senior-mobile-developer--ios-android-phonegap-objective-c-java-swift-b", "Link")</f>
        <v/>
      </c>
      <c r="I1669" t="s">
        <v>17</v>
      </c>
      <c r="J1669" t="s">
        <v>18</v>
      </c>
      <c r="K1669" t="s">
        <v>188</v>
      </c>
      <c r="L1669" t="s">
        <v>1772</v>
      </c>
    </row>
    <row r="1670" spans="1:12">
      <c r="A1670" s="4" t="n">
        <v>43162</v>
      </c>
      <c r="B1670" t="s">
        <v>532</v>
      </c>
      <c r="C1670" t="s">
        <v>80</v>
      </c>
      <c r="D1670" t="s">
        <v>245</v>
      </c>
      <c r="E1670" t="s">
        <v>51</v>
      </c>
      <c r="F1670" t="s">
        <v>16</v>
      </c>
      <c r="G1670" t="s">
        <v>1957</v>
      </c>
      <c r="H1670">
        <f>HYPERLINK("https://www.jouwictvacature.nl/solliciteren?job=starting-innovative-backend-software-engineer-at-trifork-bij-trifork", "Link")</f>
        <v/>
      </c>
      <c r="I1670" t="s">
        <v>17</v>
      </c>
      <c r="J1670" t="s">
        <v>18</v>
      </c>
      <c r="K1670" t="s">
        <v>1958</v>
      </c>
      <c r="L1670" t="s">
        <v>1959</v>
      </c>
    </row>
    <row r="1671" spans="1:12">
      <c r="A1671" s="4" t="n">
        <v>43162</v>
      </c>
      <c r="B1671" t="s">
        <v>2040</v>
      </c>
      <c r="C1671" t="s">
        <v>2041</v>
      </c>
      <c r="D1671" t="s">
        <v>22</v>
      </c>
      <c r="E1671" t="s">
        <v>51</v>
      </c>
      <c r="F1671" t="s">
        <v>52</v>
      </c>
      <c r="G1671" t="s">
        <v>2042</v>
      </c>
      <c r="H1671">
        <f>HYPERLINK("https://www.jouwictvacature.nl/solliciteren?job=medior-developer-in-amsterdam--java-rdbms-postgresql-jboss-hibernate-b", "Link")</f>
        <v/>
      </c>
      <c r="I1671" t="s">
        <v>17</v>
      </c>
      <c r="J1671" t="s">
        <v>18</v>
      </c>
      <c r="K1671" t="s">
        <v>2043</v>
      </c>
      <c r="L1671" t="s">
        <v>2044</v>
      </c>
    </row>
    <row hidden="1" r="1672" s="1" spans="1:12">
      <c r="A1672" s="4" t="n">
        <v>43162</v>
      </c>
      <c r="B1672" t="s">
        <v>174</v>
      </c>
      <c r="C1672" t="s">
        <v>80</v>
      </c>
      <c r="D1672" t="s">
        <v>22</v>
      </c>
      <c r="E1672" t="s">
        <v>15</v>
      </c>
      <c r="F1672" t="s">
        <v>28</v>
      </c>
      <c r="G1672" t="s">
        <v>1771</v>
      </c>
      <c r="H1672">
        <f>HYPERLINK("https://www.jouwictvacature.nl/solliciteren?job=senior-mobile-developer--ios-android-phonegap-objective-c-java-swift-b-2", "Link")</f>
        <v/>
      </c>
      <c r="I1672" t="s">
        <v>17</v>
      </c>
      <c r="J1672" t="s">
        <v>18</v>
      </c>
      <c r="K1672" t="s">
        <v>188</v>
      </c>
      <c r="L1672" t="s">
        <v>1836</v>
      </c>
    </row>
    <row hidden="1" r="1673" s="1" spans="1:12">
      <c r="A1673" s="4" t="n">
        <v>43162</v>
      </c>
      <c r="B1673" t="s">
        <v>1724</v>
      </c>
      <c r="C1673" t="s">
        <v>1725</v>
      </c>
      <c r="D1673" t="s">
        <v>245</v>
      </c>
      <c r="E1673" t="s">
        <v>15</v>
      </c>
      <c r="F1673" t="s">
        <v>28</v>
      </c>
      <c r="G1673" t="s">
        <v>2174</v>
      </c>
      <c r="H1673">
        <f>HYPERLINK("https://www.jouwictvacature.nl/solliciteren?job=senior-rend-software-developer-bij-usoft-bij-usoft", "Link")</f>
        <v/>
      </c>
      <c r="I1673" t="s">
        <v>17</v>
      </c>
      <c r="J1673" t="s">
        <v>18</v>
      </c>
      <c r="K1673" t="s">
        <v>1871</v>
      </c>
      <c r="L1673" t="s">
        <v>2175</v>
      </c>
    </row>
    <row hidden="1" r="1674" s="1" spans="1:12">
      <c r="A1674" s="4" t="n">
        <v>43162</v>
      </c>
      <c r="B1674" t="s">
        <v>442</v>
      </c>
      <c r="C1674" t="s">
        <v>13</v>
      </c>
      <c r="D1674" t="s">
        <v>245</v>
      </c>
      <c r="E1674" t="s">
        <v>15</v>
      </c>
      <c r="F1674" t="s">
        <v>28</v>
      </c>
      <c r="G1674" t="s">
        <v>2176</v>
      </c>
      <c r="H1674">
        <f>HYPERLINK("https://www.jouwictvacature.nl/solliciteren?job=senior-fullstack-software-ontwikkelaar-bij-simaxx-bij-simaxx", "Link")</f>
        <v/>
      </c>
      <c r="I1674" t="s">
        <v>17</v>
      </c>
      <c r="J1674" t="s">
        <v>18</v>
      </c>
      <c r="K1674" t="s">
        <v>444</v>
      </c>
      <c r="L1674" t="s">
        <v>2177</v>
      </c>
    </row>
    <row r="1675" spans="1:12">
      <c r="A1675" s="4" t="n">
        <v>43162</v>
      </c>
      <c r="B1675" t="s">
        <v>61</v>
      </c>
      <c r="C1675" t="s">
        <v>62</v>
      </c>
      <c r="D1675" t="s">
        <v>22</v>
      </c>
      <c r="E1675" t="s">
        <v>51</v>
      </c>
      <c r="F1675" t="s">
        <v>28</v>
      </c>
      <c r="G1675" t="s">
        <v>66</v>
      </c>
      <c r="H1675">
        <f>HYPERLINK("https://www.jouwictvacature.nl/solliciteren?job=senior-software-engineer-at-axual--java-scala-apache-kafka-spring-bij-", "Link")</f>
        <v/>
      </c>
      <c r="I1675" t="s">
        <v>17</v>
      </c>
      <c r="J1675" t="s">
        <v>18</v>
      </c>
      <c r="K1675" t="s">
        <v>64</v>
      </c>
      <c r="L1675" t="s">
        <v>67</v>
      </c>
    </row>
    <row hidden="1" r="1676" s="1" spans="1:12">
      <c r="A1676" s="4" t="n">
        <v>43162</v>
      </c>
      <c r="B1676" t="s">
        <v>1399</v>
      </c>
      <c r="C1676" t="s">
        <v>309</v>
      </c>
      <c r="D1676" t="s">
        <v>22</v>
      </c>
      <c r="E1676" t="s">
        <v>15</v>
      </c>
      <c r="F1676" t="s">
        <v>28</v>
      </c>
      <c r="G1676" t="s">
        <v>2178</v>
      </c>
      <c r="H1676">
        <f>HYPERLINK("https://www.jouwictvacature.nl/solliciteren?job=senior-java-ontwikkelaar-bij-msg-life-benelux-bij-msg-life-benelux", "Link")</f>
        <v/>
      </c>
      <c r="I1676" t="s">
        <v>17</v>
      </c>
      <c r="J1676" t="s">
        <v>18</v>
      </c>
      <c r="K1676" t="s">
        <v>1637</v>
      </c>
      <c r="L1676" t="s">
        <v>2179</v>
      </c>
    </row>
    <row hidden="1" r="1677" s="1" spans="1:12">
      <c r="A1677" s="4" t="n">
        <v>43162</v>
      </c>
      <c r="B1677" t="s">
        <v>2059</v>
      </c>
      <c r="C1677" t="s">
        <v>2060</v>
      </c>
      <c r="D1677" t="s">
        <v>14</v>
      </c>
      <c r="E1677" t="s">
        <v>15</v>
      </c>
      <c r="F1677" t="s">
        <v>16</v>
      </c>
      <c r="G1677" t="s">
        <v>2059</v>
      </c>
      <c r="H1677">
        <f>HYPERLINK("https://www.jouwictvacature.nl/solliciteren?job=gedreven-developer-met-teamlead-ambities", "Link")</f>
        <v/>
      </c>
      <c r="I1677" t="s">
        <v>17</v>
      </c>
      <c r="J1677" t="s">
        <v>18</v>
      </c>
      <c r="K1677" t="s">
        <v>2152</v>
      </c>
      <c r="L1677" t="s">
        <v>2153</v>
      </c>
    </row>
    <row hidden="1" r="1678" s="1" spans="1:12">
      <c r="A1678" s="4" t="n">
        <v>43162</v>
      </c>
      <c r="B1678" t="s">
        <v>109</v>
      </c>
      <c r="C1678" t="s">
        <v>80</v>
      </c>
      <c r="D1678" t="s">
        <v>22</v>
      </c>
      <c r="E1678" t="s">
        <v>15</v>
      </c>
      <c r="F1678" t="s">
        <v>16</v>
      </c>
      <c r="G1678" t="s">
        <v>109</v>
      </c>
      <c r="H1678">
        <f>HYPERLINK("https://www.jouwictvacature.nl/solliciteren?job=medior--senior-net-developer-cnet-aspnet-mvc-azure", "Link")</f>
        <v/>
      </c>
      <c r="I1678" t="s">
        <v>17</v>
      </c>
      <c r="J1678" t="s">
        <v>18</v>
      </c>
      <c r="K1678" t="s">
        <v>110</v>
      </c>
      <c r="L1678" t="s">
        <v>1345</v>
      </c>
    </row>
    <row hidden="1" r="1679" s="1" spans="1:12">
      <c r="A1679" s="4" t="n">
        <v>43162</v>
      </c>
      <c r="B1679" t="s">
        <v>2000</v>
      </c>
      <c r="C1679" t="s">
        <v>38</v>
      </c>
      <c r="D1679" t="s">
        <v>245</v>
      </c>
      <c r="E1679" t="s">
        <v>15</v>
      </c>
      <c r="F1679" t="s">
        <v>28</v>
      </c>
      <c r="G1679" t="s">
        <v>2180</v>
      </c>
      <c r="H1679">
        <f>HYPERLINK("https://www.jouwictvacature.nl/solliciteren?job=medior-microsoft-sharepoint-specialist-bij-sogeti", "Link")</f>
        <v/>
      </c>
      <c r="I1679" t="s">
        <v>17</v>
      </c>
      <c r="J1679" t="s">
        <v>18</v>
      </c>
      <c r="K1679" t="s">
        <v>458</v>
      </c>
      <c r="L1679" t="s">
        <v>2181</v>
      </c>
    </row>
    <row hidden="1" r="1680" s="1" spans="1:12">
      <c r="A1680" s="4" t="n">
        <v>43162</v>
      </c>
      <c r="B1680" t="s">
        <v>2000</v>
      </c>
      <c r="C1680" t="s">
        <v>309</v>
      </c>
      <c r="D1680" t="s">
        <v>245</v>
      </c>
      <c r="E1680" t="s">
        <v>15</v>
      </c>
      <c r="F1680" t="s">
        <v>52</v>
      </c>
      <c r="G1680" t="s">
        <v>463</v>
      </c>
      <c r="H1680">
        <f>HYPERLINK("https://www.jouwictvacature.nl/solliciteren?job=microsoft-sharepoint-specialist-bij-sogeti-3", "Link")</f>
        <v/>
      </c>
      <c r="I1680" t="s">
        <v>17</v>
      </c>
      <c r="J1680" t="s">
        <v>18</v>
      </c>
      <c r="K1680" t="s">
        <v>458</v>
      </c>
      <c r="L1680" t="s">
        <v>464</v>
      </c>
    </row>
    <row hidden="1" r="1681" s="1" spans="1:12">
      <c r="A1681" s="4" t="n">
        <v>43162</v>
      </c>
      <c r="B1681" t="s">
        <v>37</v>
      </c>
      <c r="C1681" t="s">
        <v>38</v>
      </c>
      <c r="D1681" t="s">
        <v>22</v>
      </c>
      <c r="E1681" t="s">
        <v>15</v>
      </c>
      <c r="F1681" t="s">
        <v>52</v>
      </c>
      <c r="G1681" t="s">
        <v>1125</v>
      </c>
      <c r="H1681">
        <f>HYPERLINK("https://www.jouwictvacature.nl/solliciteren?job=medior-javascript-developer-bij-advitrae", "Link")</f>
        <v/>
      </c>
      <c r="I1681" t="s">
        <v>17</v>
      </c>
      <c r="J1681" t="s">
        <v>18</v>
      </c>
      <c r="K1681" t="s">
        <v>40</v>
      </c>
      <c r="L1681" t="s">
        <v>1126</v>
      </c>
    </row>
    <row hidden="1" r="1682" s="1" spans="1:12">
      <c r="A1682" s="4" t="n">
        <v>43162</v>
      </c>
      <c r="B1682" t="s">
        <v>785</v>
      </c>
      <c r="C1682" t="s">
        <v>522</v>
      </c>
      <c r="D1682" t="s">
        <v>22</v>
      </c>
      <c r="E1682" t="s">
        <v>15</v>
      </c>
      <c r="F1682" t="s">
        <v>16</v>
      </c>
      <c r="G1682" t="s">
        <v>785</v>
      </c>
      <c r="H1682">
        <f>HYPERLINK("https://www.jouwictvacature.nl/solliciteren?job=junior-software-engineer-3", "Link")</f>
        <v/>
      </c>
      <c r="I1682" t="s">
        <v>17</v>
      </c>
      <c r="J1682" t="s">
        <v>18</v>
      </c>
      <c r="K1682" t="s">
        <v>1662</v>
      </c>
      <c r="L1682" t="s">
        <v>1837</v>
      </c>
    </row>
    <row hidden="1" r="1683" s="1" spans="1:12">
      <c r="A1683" s="4" t="n">
        <v>43162</v>
      </c>
      <c r="B1683" t="s">
        <v>785</v>
      </c>
      <c r="C1683" t="s">
        <v>522</v>
      </c>
      <c r="D1683" t="s">
        <v>22</v>
      </c>
      <c r="E1683" t="s">
        <v>15</v>
      </c>
      <c r="F1683" t="s">
        <v>16</v>
      </c>
      <c r="G1683" t="s">
        <v>785</v>
      </c>
      <c r="H1683">
        <f>HYPERLINK("https://www.jouwictvacature.nl/solliciteren?job=software-engineer-bij-ecare-2", "Link")</f>
        <v/>
      </c>
      <c r="I1683" t="s">
        <v>17</v>
      </c>
      <c r="J1683" t="s">
        <v>18</v>
      </c>
      <c r="K1683" t="s">
        <v>1478</v>
      </c>
      <c r="L1683" t="s">
        <v>1925</v>
      </c>
    </row>
    <row hidden="1" r="1684" s="1" spans="1:12">
      <c r="A1684" s="4" t="n">
        <v>43162</v>
      </c>
      <c r="B1684" t="s">
        <v>865</v>
      </c>
      <c r="C1684" t="s">
        <v>866</v>
      </c>
      <c r="D1684" t="s">
        <v>245</v>
      </c>
      <c r="E1684" t="s">
        <v>15</v>
      </c>
      <c r="F1684" t="s">
        <v>16</v>
      </c>
      <c r="G1684" t="s">
        <v>865</v>
      </c>
      <c r="H1684">
        <f>HYPERLINK("https://www.jouwictvacature.nl/solliciteren?job=business-consultant-erp-bij-ridder-data-systems", "Link")</f>
        <v/>
      </c>
      <c r="I1684" t="s">
        <v>17</v>
      </c>
      <c r="J1684" t="s">
        <v>18</v>
      </c>
      <c r="K1684" t="s">
        <v>2182</v>
      </c>
      <c r="L1684" t="s">
        <v>2183</v>
      </c>
    </row>
    <row hidden="1" r="1685" s="1" spans="1:12">
      <c r="A1685" s="4" t="n">
        <v>43162</v>
      </c>
      <c r="B1685" t="s">
        <v>196</v>
      </c>
      <c r="C1685" t="s">
        <v>197</v>
      </c>
      <c r="D1685" t="s">
        <v>22</v>
      </c>
      <c r="E1685" t="s">
        <v>15</v>
      </c>
      <c r="F1685" t="s">
        <v>28</v>
      </c>
      <c r="G1685" t="s">
        <v>198</v>
      </c>
      <c r="H1685">
        <f>HYPERLINK("https://www.jouwictvacature.nl/solliciteren?job=senior-net-developer-bij-easyads--werken-met-de-nieuwste-technologie", "Link")</f>
        <v/>
      </c>
      <c r="I1685" t="s">
        <v>17</v>
      </c>
      <c r="J1685" t="s">
        <v>18</v>
      </c>
      <c r="K1685" t="s">
        <v>199</v>
      </c>
      <c r="L1685" t="s">
        <v>200</v>
      </c>
    </row>
    <row hidden="1" r="1686" s="1" spans="1:12">
      <c r="A1686" s="4" t="n">
        <v>43162</v>
      </c>
      <c r="B1686" t="s">
        <v>127</v>
      </c>
      <c r="C1686" t="s">
        <v>128</v>
      </c>
      <c r="D1686" t="s">
        <v>22</v>
      </c>
      <c r="E1686" t="s">
        <v>15</v>
      </c>
      <c r="F1686" t="s">
        <v>16</v>
      </c>
      <c r="G1686" t="s">
        <v>129</v>
      </c>
      <c r="H1686">
        <f>HYPERLINK("https://www.jouwictvacature.nl/solliciteren?job=developer-c--audioenvideo-bij-gridshot-thefrontdoor", "Link")</f>
        <v/>
      </c>
      <c r="I1686" t="s">
        <v>17</v>
      </c>
      <c r="J1686" t="s">
        <v>18</v>
      </c>
      <c r="K1686" t="s">
        <v>130</v>
      </c>
      <c r="L1686" t="s">
        <v>131</v>
      </c>
    </row>
    <row hidden="1" r="1687" s="1" spans="1:12">
      <c r="A1687" s="4" t="n">
        <v>43162</v>
      </c>
      <c r="B1687" t="s">
        <v>2004</v>
      </c>
      <c r="C1687" t="s">
        <v>1670</v>
      </c>
      <c r="D1687" t="s">
        <v>245</v>
      </c>
      <c r="E1687" t="s">
        <v>15</v>
      </c>
      <c r="F1687" t="s">
        <v>28</v>
      </c>
      <c r="G1687" t="s">
        <v>2184</v>
      </c>
      <c r="H1687">
        <f>HYPERLINK("https://www.jouwictvacature.nl/solliciteren?job=senior-fullstack-developer-bij-the-people-group", "Link")</f>
        <v/>
      </c>
      <c r="I1687" t="s">
        <v>17</v>
      </c>
      <c r="J1687" t="s">
        <v>18</v>
      </c>
      <c r="K1687" t="s">
        <v>2005</v>
      </c>
      <c r="L1687" t="s">
        <v>2185</v>
      </c>
    </row>
    <row hidden="1" r="1688" s="1" spans="1:12">
      <c r="A1688" s="4" t="n">
        <v>43162</v>
      </c>
      <c r="B1688" t="s">
        <v>1760</v>
      </c>
      <c r="C1688" t="s">
        <v>62</v>
      </c>
      <c r="D1688" t="s">
        <v>245</v>
      </c>
      <c r="E1688" t="s">
        <v>15</v>
      </c>
      <c r="F1688" t="s">
        <v>16</v>
      </c>
      <c r="G1688" t="s">
        <v>1760</v>
      </c>
      <c r="H1688">
        <f>HYPERLINK("https://www.jouwictvacature.nl/solliciteren?job=junior-wordpress-developer-bij-zeo", "Link")</f>
        <v/>
      </c>
      <c r="I1688" t="s">
        <v>17</v>
      </c>
      <c r="J1688" t="s">
        <v>18</v>
      </c>
      <c r="K1688" t="s">
        <v>1761</v>
      </c>
      <c r="L1688" t="s">
        <v>2101</v>
      </c>
    </row>
    <row hidden="1" r="1689" s="1" spans="1:12">
      <c r="A1689" s="4" t="n">
        <v>43162</v>
      </c>
      <c r="B1689" t="s">
        <v>2016</v>
      </c>
      <c r="C1689" t="s">
        <v>2017</v>
      </c>
      <c r="D1689" t="s">
        <v>22</v>
      </c>
      <c r="E1689" t="s">
        <v>15</v>
      </c>
      <c r="F1689" t="s">
        <v>52</v>
      </c>
      <c r="G1689" t="s">
        <v>2186</v>
      </c>
      <c r="H1689">
        <f>HYPERLINK("https://www.jouwictvacature.nl/solliciteren?job=medior-webdeveloper-bij-connection-systems-", "Link")</f>
        <v/>
      </c>
      <c r="I1689" t="s">
        <v>17</v>
      </c>
      <c r="J1689" t="s">
        <v>18</v>
      </c>
      <c r="K1689" t="s">
        <v>2187</v>
      </c>
      <c r="L1689" t="s">
        <v>2188</v>
      </c>
    </row>
    <row hidden="1" r="1690" s="1" spans="1:12">
      <c r="A1690" s="4" t="n">
        <v>43162</v>
      </c>
      <c r="B1690" t="s">
        <v>585</v>
      </c>
      <c r="C1690" t="s">
        <v>586</v>
      </c>
      <c r="D1690" t="s">
        <v>245</v>
      </c>
      <c r="E1690" t="s">
        <v>15</v>
      </c>
      <c r="F1690" t="s">
        <v>16</v>
      </c>
      <c r="G1690" t="s">
        <v>1750</v>
      </c>
      <c r="H1690">
        <f>HYPERLINK("https://www.jouwictvacature.nl/solliciteren?job=senior-php-webontwikkelaar-met-kennis-van-laravel", "Link")</f>
        <v/>
      </c>
      <c r="I1690" t="s">
        <v>17</v>
      </c>
      <c r="J1690" t="s">
        <v>18</v>
      </c>
      <c r="K1690" t="s">
        <v>1751</v>
      </c>
      <c r="L1690" t="s">
        <v>1752</v>
      </c>
    </row>
    <row r="1691" spans="1:12">
      <c r="A1691" s="4" t="n">
        <v>43162</v>
      </c>
      <c r="B1691" t="s">
        <v>2004</v>
      </c>
      <c r="C1691" t="s">
        <v>1670</v>
      </c>
      <c r="D1691" t="s">
        <v>245</v>
      </c>
      <c r="E1691" t="s">
        <v>51</v>
      </c>
      <c r="F1691" t="s">
        <v>28</v>
      </c>
      <c r="G1691" t="s">
        <v>2189</v>
      </c>
      <c r="H1691">
        <f>HYPERLINK("https://www.jouwictvacature.nl/solliciteren?job=medior-front-end-developer-english", "Link")</f>
        <v/>
      </c>
      <c r="I1691" t="s">
        <v>17</v>
      </c>
      <c r="J1691" t="s">
        <v>18</v>
      </c>
      <c r="K1691" t="s">
        <v>2009</v>
      </c>
      <c r="L1691" t="s">
        <v>2190</v>
      </c>
    </row>
    <row hidden="1" r="1692" s="1" spans="1:12">
      <c r="A1692" s="4" t="n">
        <v>43162</v>
      </c>
      <c r="B1692" t="s">
        <v>432</v>
      </c>
      <c r="C1692" t="s">
        <v>433</v>
      </c>
      <c r="D1692" t="s">
        <v>245</v>
      </c>
      <c r="E1692" t="s">
        <v>15</v>
      </c>
      <c r="F1692" t="s">
        <v>52</v>
      </c>
      <c r="G1692" t="s">
        <v>648</v>
      </c>
      <c r="H1692">
        <f>HYPERLINK("https://www.jouwictvacature.nl/solliciteren?job=gedreven-back-end-developer", "Link")</f>
        <v/>
      </c>
      <c r="I1692" t="s">
        <v>17</v>
      </c>
      <c r="J1692" t="s">
        <v>18</v>
      </c>
      <c r="K1692" t="s">
        <v>435</v>
      </c>
      <c r="L1692" t="s">
        <v>649</v>
      </c>
    </row>
    <row hidden="1" r="1693" s="1" spans="1:12">
      <c r="A1693" s="4" t="n">
        <v>43162</v>
      </c>
      <c r="B1693" t="s">
        <v>1760</v>
      </c>
      <c r="C1693" t="s">
        <v>62</v>
      </c>
      <c r="D1693" t="s">
        <v>245</v>
      </c>
      <c r="E1693" t="s">
        <v>15</v>
      </c>
      <c r="F1693" t="s">
        <v>16</v>
      </c>
      <c r="G1693" t="s">
        <v>1760</v>
      </c>
      <c r="H1693">
        <f>HYPERLINK("https://www.jouwictvacature.nl/solliciteren?job=backend-developer-bij-zeo-bij-zeo", "Link")</f>
        <v/>
      </c>
      <c r="I1693" t="s">
        <v>17</v>
      </c>
      <c r="J1693" t="s">
        <v>18</v>
      </c>
      <c r="K1693" t="s">
        <v>1844</v>
      </c>
      <c r="L1693" t="s">
        <v>2191</v>
      </c>
    </row>
    <row hidden="1" r="1694" s="1" spans="1:12">
      <c r="A1694" s="4" t="n">
        <v>43162</v>
      </c>
      <c r="B1694" t="s">
        <v>2004</v>
      </c>
      <c r="C1694" t="s">
        <v>1670</v>
      </c>
      <c r="D1694" t="s">
        <v>245</v>
      </c>
      <c r="E1694" t="s">
        <v>15</v>
      </c>
      <c r="F1694" t="s">
        <v>28</v>
      </c>
      <c r="G1694" t="s">
        <v>321</v>
      </c>
      <c r="H1694">
        <f>HYPERLINK("https://www.jouwictvacature.nl/solliciteren?job=senior-javascript-developer-bij-the-people-group", "Link")</f>
        <v/>
      </c>
      <c r="I1694" t="s">
        <v>17</v>
      </c>
      <c r="J1694" t="s">
        <v>18</v>
      </c>
      <c r="K1694" t="s">
        <v>2005</v>
      </c>
      <c r="L1694" t="s">
        <v>2139</v>
      </c>
    </row>
    <row hidden="1" r="1695" s="1" spans="1:12">
      <c r="A1695" s="4" t="n">
        <v>43162</v>
      </c>
      <c r="B1695" t="s">
        <v>813</v>
      </c>
      <c r="C1695" t="s">
        <v>309</v>
      </c>
      <c r="D1695" t="s">
        <v>245</v>
      </c>
      <c r="E1695" t="s">
        <v>15</v>
      </c>
      <c r="F1695" t="s">
        <v>28</v>
      </c>
      <c r="G1695" t="s">
        <v>814</v>
      </c>
      <c r="H1695">
        <f>HYPERLINK("https://www.jouwictvacature.nl/solliciteren?job=senior-full-stack-ontwikkelaar-bij-telserv-bij-telserv", "Link")</f>
        <v/>
      </c>
      <c r="I1695" t="s">
        <v>17</v>
      </c>
      <c r="J1695" t="s">
        <v>18</v>
      </c>
      <c r="K1695" t="s">
        <v>815</v>
      </c>
      <c r="L1695" t="s">
        <v>816</v>
      </c>
    </row>
    <row hidden="1" r="1696" s="1" spans="1:12">
      <c r="A1696" s="4" t="n">
        <v>43162</v>
      </c>
      <c r="B1696" t="s">
        <v>885</v>
      </c>
      <c r="C1696" t="s">
        <v>76</v>
      </c>
      <c r="D1696" t="s">
        <v>14</v>
      </c>
      <c r="E1696" t="s">
        <v>15</v>
      </c>
      <c r="F1696" t="s">
        <v>16</v>
      </c>
      <c r="G1696" t="s">
        <v>1646</v>
      </c>
      <c r="H1696">
        <f>HYPERLINK("https://www.jouwictvacature.nl/solliciteren?job=gedreven-medior-backend-developer", "Link")</f>
        <v/>
      </c>
      <c r="I1696" t="s">
        <v>17</v>
      </c>
      <c r="J1696" t="s">
        <v>18</v>
      </c>
      <c r="K1696" t="s">
        <v>887</v>
      </c>
      <c r="L1696" t="s">
        <v>1647</v>
      </c>
    </row>
    <row r="1697" spans="1:12">
      <c r="A1697" s="4" t="n">
        <v>43162</v>
      </c>
      <c r="B1697" t="s">
        <v>2192</v>
      </c>
      <c r="C1697" t="s">
        <v>93</v>
      </c>
      <c r="D1697" t="s">
        <v>22</v>
      </c>
      <c r="E1697" t="s">
        <v>51</v>
      </c>
      <c r="F1697" t="s">
        <v>52</v>
      </c>
      <c r="G1697" t="s">
        <v>2193</v>
      </c>
      <c r="H1697">
        <f>HYPERLINK("https://www.jouwictvacature.nl/solliciteren?job=mediorjavascript-developer-bij-hello-print-2", "Link")</f>
        <v/>
      </c>
      <c r="I1697" t="s">
        <v>17</v>
      </c>
      <c r="J1697" t="s">
        <v>18</v>
      </c>
      <c r="K1697" t="s">
        <v>2194</v>
      </c>
      <c r="L1697" t="s">
        <v>2195</v>
      </c>
    </row>
    <row hidden="1" r="1698" s="1" spans="1:12">
      <c r="A1698" s="4" t="n">
        <v>43162</v>
      </c>
      <c r="B1698" t="s">
        <v>553</v>
      </c>
      <c r="C1698" t="s">
        <v>554</v>
      </c>
      <c r="D1698" t="s">
        <v>245</v>
      </c>
      <c r="E1698" t="s">
        <v>15</v>
      </c>
      <c r="F1698" t="s">
        <v>16</v>
      </c>
      <c r="G1698" t="s">
        <v>553</v>
      </c>
      <c r="H1698">
        <f>HYPERLINK("https://www.jouwictvacature.nl/solliciteren?job=senior-web-developer-bij-ultraware-", "Link")</f>
        <v/>
      </c>
      <c r="I1698" t="s">
        <v>17</v>
      </c>
      <c r="J1698" t="s">
        <v>18</v>
      </c>
      <c r="K1698" t="s">
        <v>557</v>
      </c>
      <c r="L1698" t="s">
        <v>558</v>
      </c>
    </row>
    <row hidden="1" r="1699" s="1" spans="1:12">
      <c r="A1699" s="4" t="n">
        <v>43162</v>
      </c>
      <c r="B1699" t="s">
        <v>493</v>
      </c>
      <c r="C1699" t="s">
        <v>72</v>
      </c>
      <c r="D1699" t="s">
        <v>245</v>
      </c>
      <c r="E1699" t="s">
        <v>15</v>
      </c>
      <c r="F1699" t="s">
        <v>16</v>
      </c>
      <c r="G1699" t="s">
        <v>493</v>
      </c>
      <c r="H1699">
        <f>HYPERLINK("https://www.jouwictvacature.nl/solliciteren?job=front-end-developer-bij-sumedia", "Link")</f>
        <v/>
      </c>
      <c r="I1699" t="s">
        <v>17</v>
      </c>
      <c r="J1699" t="s">
        <v>18</v>
      </c>
      <c r="K1699" t="s">
        <v>1605</v>
      </c>
      <c r="L1699" t="s">
        <v>1607</v>
      </c>
    </row>
    <row r="1700" spans="1:12">
      <c r="A1700" s="4" t="n">
        <v>43162</v>
      </c>
      <c r="B1700" t="s">
        <v>1109</v>
      </c>
      <c r="C1700" t="s">
        <v>80</v>
      </c>
      <c r="D1700" t="s">
        <v>22</v>
      </c>
      <c r="E1700" t="s">
        <v>51</v>
      </c>
      <c r="F1700" t="s">
        <v>16</v>
      </c>
      <c r="G1700" t="s">
        <v>1109</v>
      </c>
      <c r="H1700">
        <f>HYPERLINK("https://www.jouwictvacature.nl/solliciteren?job=medior-front-end-developer-bij-codezilla-bij-codezilla", "Link")</f>
        <v/>
      </c>
      <c r="I1700" t="s">
        <v>17</v>
      </c>
      <c r="J1700" t="s">
        <v>18</v>
      </c>
      <c r="K1700" t="s">
        <v>1110</v>
      </c>
      <c r="L1700" t="s">
        <v>2196</v>
      </c>
    </row>
    <row hidden="1" r="1701" s="1" spans="1:12">
      <c r="A1701" s="4" t="n">
        <v>43162</v>
      </c>
      <c r="B1701" t="s">
        <v>1377</v>
      </c>
      <c r="C1701" t="s">
        <v>1378</v>
      </c>
      <c r="D1701" t="s">
        <v>22</v>
      </c>
      <c r="E1701" t="s">
        <v>15</v>
      </c>
      <c r="F1701" t="s">
        <v>16</v>
      </c>
      <c r="G1701" t="s">
        <v>1377</v>
      </c>
      <c r="H1701">
        <f>HYPERLINK("https://www.jouwictvacature.nl/solliciteren?job=senior-front-end-developer-bij-gappless", "Link")</f>
        <v/>
      </c>
      <c r="I1701" t="s">
        <v>17</v>
      </c>
      <c r="J1701" t="s">
        <v>18</v>
      </c>
      <c r="K1701" t="s">
        <v>1878</v>
      </c>
      <c r="L1701" t="s">
        <v>2197</v>
      </c>
    </row>
    <row hidden="1" r="1702" s="1" spans="1:12">
      <c r="A1702" s="4" t="n">
        <v>43162</v>
      </c>
      <c r="B1702" t="s">
        <v>2004</v>
      </c>
      <c r="C1702" t="s">
        <v>1670</v>
      </c>
      <c r="D1702" t="s">
        <v>245</v>
      </c>
      <c r="E1702" t="s">
        <v>15</v>
      </c>
      <c r="F1702" t="s">
        <v>52</v>
      </c>
      <c r="G1702" t="s">
        <v>318</v>
      </c>
      <c r="H1702">
        <f>HYPERLINK("https://www.jouwictvacature.nl/solliciteren?job=medior-front-end-developer-bij-the-people-group", "Link")</f>
        <v/>
      </c>
      <c r="I1702" t="s">
        <v>17</v>
      </c>
      <c r="J1702" t="s">
        <v>18</v>
      </c>
      <c r="K1702" t="s">
        <v>2005</v>
      </c>
      <c r="L1702" t="s">
        <v>2198</v>
      </c>
    </row>
    <row hidden="1" r="1703" s="1" spans="1:12">
      <c r="A1703" s="4" t="n">
        <v>43162</v>
      </c>
      <c r="B1703" t="s">
        <v>1866</v>
      </c>
      <c r="C1703" t="s">
        <v>76</v>
      </c>
      <c r="D1703" t="s">
        <v>14</v>
      </c>
      <c r="E1703" t="s">
        <v>15</v>
      </c>
      <c r="F1703" t="s">
        <v>52</v>
      </c>
      <c r="G1703" t="s">
        <v>1979</v>
      </c>
      <c r="H1703">
        <f>HYPERLINK("https://www.jouwictvacature.nl/solliciteren?job=medior-frontend-developer-bij-kaartje2go", "Link")</f>
        <v/>
      </c>
      <c r="I1703" t="s">
        <v>17</v>
      </c>
      <c r="J1703" t="s">
        <v>18</v>
      </c>
      <c r="K1703" t="s">
        <v>1868</v>
      </c>
      <c r="L1703" t="s">
        <v>1980</v>
      </c>
    </row>
    <row hidden="1" r="1704" s="1" spans="1:12">
      <c r="A1704" s="4" t="n">
        <v>43162</v>
      </c>
      <c r="B1704" t="s">
        <v>2004</v>
      </c>
      <c r="C1704" t="s">
        <v>1670</v>
      </c>
      <c r="D1704" t="s">
        <v>245</v>
      </c>
      <c r="E1704" t="s">
        <v>15</v>
      </c>
      <c r="F1704" t="s">
        <v>52</v>
      </c>
      <c r="G1704" t="s">
        <v>1125</v>
      </c>
      <c r="H1704">
        <f>HYPERLINK("https://www.jouwictvacature.nl/solliciteren?job=medior-javascript-developer-bij-the-people-group", "Link")</f>
        <v/>
      </c>
      <c r="I1704" t="s">
        <v>17</v>
      </c>
      <c r="J1704" t="s">
        <v>18</v>
      </c>
      <c r="K1704" t="s">
        <v>2005</v>
      </c>
      <c r="L1704" t="s">
        <v>2199</v>
      </c>
    </row>
    <row hidden="1" r="1705" s="1" spans="1:12">
      <c r="A1705" s="4" t="n">
        <v>43162</v>
      </c>
      <c r="B1705" t="s">
        <v>2004</v>
      </c>
      <c r="C1705" t="s">
        <v>1670</v>
      </c>
      <c r="D1705" t="s">
        <v>245</v>
      </c>
      <c r="E1705" t="s">
        <v>15</v>
      </c>
      <c r="F1705" t="s">
        <v>28</v>
      </c>
      <c r="G1705" t="s">
        <v>39</v>
      </c>
      <c r="H1705">
        <f>HYPERLINK("https://www.jouwictvacature.nl/solliciteren?job=senior-front-end-developer-bij-the-people-group", "Link")</f>
        <v/>
      </c>
      <c r="I1705" t="s">
        <v>17</v>
      </c>
      <c r="J1705" t="s">
        <v>18</v>
      </c>
      <c r="K1705" t="s">
        <v>2005</v>
      </c>
      <c r="L1705" t="s">
        <v>2200</v>
      </c>
    </row>
    <row hidden="1" r="1706" s="1" spans="1:12">
      <c r="A1706" s="4" t="n">
        <v>43162</v>
      </c>
      <c r="B1706" t="s">
        <v>903</v>
      </c>
      <c r="C1706" t="s">
        <v>72</v>
      </c>
      <c r="D1706" t="s">
        <v>22</v>
      </c>
      <c r="E1706" t="s">
        <v>15</v>
      </c>
      <c r="F1706" t="s">
        <v>16</v>
      </c>
      <c r="G1706" t="s">
        <v>904</v>
      </c>
      <c r="H1706">
        <f>HYPERLINK("https://www.jouwictvacature.nl/solliciteren?job=front-end-developer-bij-crv", "Link")</f>
        <v/>
      </c>
      <c r="I1706" t="s">
        <v>17</v>
      </c>
      <c r="J1706" t="s">
        <v>18</v>
      </c>
      <c r="K1706" t="s">
        <v>905</v>
      </c>
      <c r="L1706" t="s">
        <v>906</v>
      </c>
    </row>
    <row hidden="1" r="1707" s="1" spans="1:12">
      <c r="A1707" s="4" t="n">
        <v>43162</v>
      </c>
      <c r="B1707" t="s">
        <v>174</v>
      </c>
      <c r="C1707" t="s">
        <v>38</v>
      </c>
      <c r="D1707" t="s">
        <v>22</v>
      </c>
      <c r="E1707" t="s">
        <v>15</v>
      </c>
      <c r="F1707" t="s">
        <v>28</v>
      </c>
      <c r="G1707" t="s">
        <v>183</v>
      </c>
      <c r="H1707">
        <f>HYPERLINK("https://www.jouwictvacature.nl/solliciteren?job=senior-java-backend-developer-bij-dpa-geos-bij-dpa-geos-3", "Link")</f>
        <v/>
      </c>
      <c r="I1707" t="s">
        <v>17</v>
      </c>
      <c r="J1707" t="s">
        <v>18</v>
      </c>
      <c r="K1707" t="s">
        <v>179</v>
      </c>
      <c r="L1707" t="s">
        <v>184</v>
      </c>
    </row>
    <row hidden="1" r="1708" s="1" spans="1:12">
      <c r="A1708" s="4" t="n">
        <v>43162</v>
      </c>
      <c r="B1708" t="s">
        <v>1399</v>
      </c>
      <c r="C1708" t="s">
        <v>309</v>
      </c>
      <c r="D1708" t="s">
        <v>22</v>
      </c>
      <c r="E1708" t="s">
        <v>15</v>
      </c>
      <c r="F1708" t="s">
        <v>28</v>
      </c>
      <c r="G1708" t="s">
        <v>2178</v>
      </c>
      <c r="H1708">
        <f>HYPERLINK("https://www.jouwictvacature.nl/solliciteren?job=senior-java-ontwikkelaar-bij-msg-life-benelux-bij-msg-life-benelux", "Link")</f>
        <v/>
      </c>
      <c r="I1708" t="s">
        <v>17</v>
      </c>
      <c r="J1708" t="s">
        <v>18</v>
      </c>
      <c r="K1708" t="s">
        <v>1637</v>
      </c>
      <c r="L1708" t="s">
        <v>2179</v>
      </c>
    </row>
    <row r="1709" spans="1:12">
      <c r="A1709" s="4" t="n">
        <v>43162</v>
      </c>
      <c r="B1709" t="s">
        <v>2040</v>
      </c>
      <c r="C1709" t="s">
        <v>2041</v>
      </c>
      <c r="D1709" t="s">
        <v>22</v>
      </c>
      <c r="E1709" t="s">
        <v>51</v>
      </c>
      <c r="F1709" t="s">
        <v>16</v>
      </c>
      <c r="G1709" t="s">
        <v>2201</v>
      </c>
      <c r="H1709">
        <f>HYPERLINK("https://www.jouwictvacature.nl/solliciteren?job=full-stack-mobile-developer--ios-swift-objective-c-bootstrap-bij-findw", "Link")</f>
        <v/>
      </c>
      <c r="I1709" t="s">
        <v>17</v>
      </c>
      <c r="J1709" t="s">
        <v>18</v>
      </c>
      <c r="K1709" t="s">
        <v>2202</v>
      </c>
      <c r="L1709" t="s">
        <v>2203</v>
      </c>
    </row>
    <row hidden="1" r="1710" s="1" spans="1:12">
      <c r="A1710" s="4" t="n">
        <v>43162</v>
      </c>
      <c r="B1710" t="s">
        <v>115</v>
      </c>
      <c r="C1710" t="s">
        <v>62</v>
      </c>
      <c r="D1710" t="s">
        <v>22</v>
      </c>
      <c r="E1710" t="s">
        <v>15</v>
      </c>
      <c r="F1710" t="s">
        <v>52</v>
      </c>
      <c r="G1710" t="s">
        <v>1614</v>
      </c>
      <c r="H1710">
        <f>HYPERLINK("https://www.jouwictvacature.nl/solliciteren?job=medior-java-developer-in-utrecht--spring-boot-reactor-cloud-bij-bottom", "Link")</f>
        <v/>
      </c>
      <c r="I1710" t="s">
        <v>17</v>
      </c>
      <c r="J1710" t="s">
        <v>18</v>
      </c>
      <c r="K1710" t="s">
        <v>121</v>
      </c>
      <c r="L1710" t="s">
        <v>1615</v>
      </c>
    </row>
    <row hidden="1" r="1711" s="1" spans="1:12">
      <c r="A1711" s="4" t="n">
        <v>43162</v>
      </c>
      <c r="B1711" t="s">
        <v>174</v>
      </c>
      <c r="C1711" t="s">
        <v>93</v>
      </c>
      <c r="D1711" t="s">
        <v>22</v>
      </c>
      <c r="E1711" t="s">
        <v>15</v>
      </c>
      <c r="F1711" t="s">
        <v>52</v>
      </c>
      <c r="G1711" t="s">
        <v>2204</v>
      </c>
      <c r="H1711">
        <f>HYPERLINK("https://www.jouwictvacature.nl/solliciteren?job=medior-mobile-developer-bij-dpa-geos-bij-dpa-geos-3", "Link")</f>
        <v/>
      </c>
      <c r="I1711" t="s">
        <v>17</v>
      </c>
      <c r="J1711" t="s">
        <v>18</v>
      </c>
      <c r="K1711" t="s">
        <v>188</v>
      </c>
      <c r="L1711" t="s">
        <v>2205</v>
      </c>
    </row>
    <row hidden="1" r="1712" s="1" spans="1:12">
      <c r="A1712" s="4" t="n">
        <v>43162</v>
      </c>
      <c r="B1712" t="s">
        <v>71</v>
      </c>
      <c r="C1712" t="s">
        <v>72</v>
      </c>
      <c r="D1712" t="s">
        <v>22</v>
      </c>
      <c r="E1712" t="s">
        <v>15</v>
      </c>
      <c r="F1712" t="s">
        <v>52</v>
      </c>
      <c r="G1712" t="s">
        <v>94</v>
      </c>
      <c r="H1712">
        <f>HYPERLINK("https://www.jouwictvacature.nl/solliciteren?job=medior-testanalist-bij-bartosz-bij-bartosz-arnhem", "Link")</f>
        <v/>
      </c>
      <c r="I1712" t="s">
        <v>17</v>
      </c>
      <c r="J1712" t="s">
        <v>18</v>
      </c>
      <c r="K1712" t="s">
        <v>95</v>
      </c>
      <c r="L1712" t="s">
        <v>677</v>
      </c>
    </row>
    <row hidden="1" r="1713" s="1" spans="1:12">
      <c r="A1713" s="4" t="n">
        <v>43162</v>
      </c>
      <c r="B1713" t="s">
        <v>237</v>
      </c>
      <c r="C1713" t="s">
        <v>62</v>
      </c>
      <c r="D1713" t="s">
        <v>22</v>
      </c>
      <c r="E1713" t="s">
        <v>15</v>
      </c>
      <c r="F1713" t="s">
        <v>34</v>
      </c>
      <c r="G1713" t="s">
        <v>2206</v>
      </c>
      <c r="H1713">
        <f>HYPERLINK("https://www.jouwictvacature.nl/solliciteren?job=junior-java-developer-bij-hybrit", "Link")</f>
        <v/>
      </c>
      <c r="I1713" t="s">
        <v>17</v>
      </c>
      <c r="J1713" t="s">
        <v>18</v>
      </c>
      <c r="K1713" t="s">
        <v>242</v>
      </c>
      <c r="L1713" t="s">
        <v>2207</v>
      </c>
    </row>
    <row hidden="1" r="1714" s="1" spans="1:12">
      <c r="A1714" s="4" t="n">
        <v>43162</v>
      </c>
      <c r="B1714" t="s">
        <v>237</v>
      </c>
      <c r="C1714" t="s">
        <v>93</v>
      </c>
      <c r="D1714" t="s">
        <v>22</v>
      </c>
      <c r="E1714" t="s">
        <v>15</v>
      </c>
      <c r="F1714" t="s">
        <v>52</v>
      </c>
      <c r="G1714" t="s">
        <v>603</v>
      </c>
      <c r="H1714">
        <f>HYPERLINK("https://www.jouwictvacature.nl/solliciteren?job=medior-mulesoft-specialist-bij-hybrit-bij-hybrit", "Link")</f>
        <v/>
      </c>
      <c r="I1714" t="s">
        <v>17</v>
      </c>
      <c r="J1714" t="s">
        <v>18</v>
      </c>
      <c r="K1714" t="s">
        <v>239</v>
      </c>
      <c r="L1714" t="s">
        <v>604</v>
      </c>
    </row>
    <row hidden="1" r="1715" s="1" spans="1:12">
      <c r="A1715" s="4" t="n">
        <v>43162</v>
      </c>
      <c r="B1715" t="s">
        <v>2208</v>
      </c>
      <c r="C1715" t="s">
        <v>2209</v>
      </c>
      <c r="D1715" t="s">
        <v>14</v>
      </c>
      <c r="E1715" t="s">
        <v>15</v>
      </c>
      <c r="F1715" t="s">
        <v>16</v>
      </c>
      <c r="G1715" t="s">
        <v>2208</v>
      </c>
      <c r="H1715">
        <f>HYPERLINK("https://www.jouwictvacature.nl/solliciteren?job=junior-software-engineer-bij-pinkroccade", "Link")</f>
        <v/>
      </c>
      <c r="I1715" t="s">
        <v>17</v>
      </c>
      <c r="J1715" t="s">
        <v>18</v>
      </c>
      <c r="K1715" t="s">
        <v>2210</v>
      </c>
      <c r="L1715" t="s">
        <v>2211</v>
      </c>
    </row>
    <row hidden="1" r="1716" s="1" spans="1:12">
      <c r="A1716" s="4" t="n">
        <v>43162</v>
      </c>
      <c r="B1716" t="s">
        <v>174</v>
      </c>
      <c r="C1716" t="s">
        <v>62</v>
      </c>
      <c r="D1716" t="s">
        <v>22</v>
      </c>
      <c r="E1716" t="s">
        <v>15</v>
      </c>
      <c r="F1716" t="s">
        <v>28</v>
      </c>
      <c r="G1716" t="s">
        <v>1655</v>
      </c>
      <c r="H1716">
        <f>HYPERLINK("https://www.jouwictvacature.nl/solliciteren?job=senior-java-developer--spring-grails-wicket-javascript-scala-bij-dpa-g", "Link")</f>
        <v/>
      </c>
      <c r="I1716" t="s">
        <v>17</v>
      </c>
      <c r="J1716" t="s">
        <v>18</v>
      </c>
      <c r="K1716" t="s">
        <v>176</v>
      </c>
      <c r="L1716" t="s">
        <v>2212</v>
      </c>
    </row>
    <row hidden="1" r="1717" s="1" spans="1:12">
      <c r="A1717" s="4" t="n">
        <v>43162</v>
      </c>
      <c r="B1717" t="s">
        <v>251</v>
      </c>
      <c r="C1717" t="s">
        <v>80</v>
      </c>
      <c r="D1717" t="s">
        <v>14</v>
      </c>
      <c r="E1717" t="s">
        <v>15</v>
      </c>
      <c r="F1717" t="s">
        <v>28</v>
      </c>
      <c r="G1717" t="s">
        <v>2213</v>
      </c>
      <c r="H1717">
        <f>HYPERLINK("https://www.jouwictvacature.nl/solliciteren?job=senior-net-developer-bij-icatt-in-hartje-amsterdam-32-36-of-40-uur", "Link")</f>
        <v/>
      </c>
      <c r="I1717" t="s">
        <v>17</v>
      </c>
      <c r="J1717" t="s">
        <v>18</v>
      </c>
      <c r="K1717" t="s">
        <v>253</v>
      </c>
      <c r="L1717" t="s">
        <v>256</v>
      </c>
    </row>
    <row hidden="1" r="1718" s="1" spans="1:12">
      <c r="A1718" s="4" t="n">
        <v>43162</v>
      </c>
      <c r="B1718" t="s">
        <v>574</v>
      </c>
      <c r="C1718" t="s">
        <v>575</v>
      </c>
      <c r="D1718" t="s">
        <v>245</v>
      </c>
      <c r="E1718" t="s">
        <v>15</v>
      </c>
      <c r="F1718" t="s">
        <v>16</v>
      </c>
      <c r="G1718" t="s">
        <v>574</v>
      </c>
      <c r="H1718">
        <f>HYPERLINK("https://www.jouwictvacature.nl/solliciteren?job=senior-net-ontwikkelaar-bij-webbeat-", "Link")</f>
        <v/>
      </c>
      <c r="I1718" t="s">
        <v>17</v>
      </c>
      <c r="J1718" t="s">
        <v>18</v>
      </c>
      <c r="K1718" t="s">
        <v>583</v>
      </c>
      <c r="L1718" t="s">
        <v>584</v>
      </c>
    </row>
    <row r="1719" spans="1:12">
      <c r="A1719" s="4" t="n">
        <v>43162</v>
      </c>
      <c r="B1719" t="s">
        <v>963</v>
      </c>
      <c r="C1719" t="s">
        <v>38</v>
      </c>
      <c r="D1719" t="s">
        <v>14</v>
      </c>
      <c r="E1719" t="s">
        <v>51</v>
      </c>
      <c r="F1719" t="s">
        <v>28</v>
      </c>
      <c r="G1719" t="s">
        <v>1048</v>
      </c>
      <c r="H1719">
        <f>HYPERLINK("https://www.jouwictvacature.nl/solliciteren?job=senior-software-engineer-focus-on-front-end", "Link")</f>
        <v/>
      </c>
      <c r="I1719" t="s">
        <v>17</v>
      </c>
      <c r="J1719" t="s">
        <v>18</v>
      </c>
      <c r="K1719" t="s">
        <v>965</v>
      </c>
      <c r="L1719" t="s">
        <v>1049</v>
      </c>
    </row>
    <row hidden="1" r="1720" s="1" spans="1:12">
      <c r="A1720" s="4" t="n">
        <v>43162</v>
      </c>
      <c r="B1720" t="s">
        <v>785</v>
      </c>
      <c r="C1720" t="s">
        <v>522</v>
      </c>
      <c r="D1720" t="s">
        <v>22</v>
      </c>
      <c r="E1720" t="s">
        <v>15</v>
      </c>
      <c r="F1720" t="s">
        <v>16</v>
      </c>
      <c r="G1720" t="s">
        <v>785</v>
      </c>
      <c r="H1720">
        <f>HYPERLINK("https://www.jouwictvacature.nl/solliciteren?job=software-engineer-integratie", "Link")</f>
        <v/>
      </c>
      <c r="I1720" t="s">
        <v>17</v>
      </c>
      <c r="J1720" t="s">
        <v>18</v>
      </c>
      <c r="K1720" t="s">
        <v>786</v>
      </c>
      <c r="L1720" t="s">
        <v>787</v>
      </c>
    </row>
    <row r="1721" spans="1:12">
      <c r="A1721" s="4" t="n">
        <v>43162</v>
      </c>
      <c r="B1721" t="s">
        <v>2214</v>
      </c>
      <c r="C1721" t="s">
        <v>2215</v>
      </c>
      <c r="D1721" t="s">
        <v>14</v>
      </c>
      <c r="E1721" t="s">
        <v>51</v>
      </c>
      <c r="F1721" t="s">
        <v>16</v>
      </c>
      <c r="G1721" t="s">
        <v>2216</v>
      </c>
      <c r="H1721">
        <f>HYPERLINK("https://www.jouwictvacature.nl/solliciteren?job=cc-ontwikkelaar-met-affiniteit-voor-luchtvaart", "Link")</f>
        <v/>
      </c>
      <c r="I1721" t="s">
        <v>17</v>
      </c>
      <c r="J1721" t="s">
        <v>18</v>
      </c>
      <c r="K1721" t="s">
        <v>2217</v>
      </c>
      <c r="L1721" t="s">
        <v>2218</v>
      </c>
    </row>
    <row hidden="1" r="1722" s="1" spans="1:12">
      <c r="A1722" s="4" t="n">
        <v>43162</v>
      </c>
      <c r="B1722" t="s">
        <v>196</v>
      </c>
      <c r="C1722" t="s">
        <v>197</v>
      </c>
      <c r="D1722" t="s">
        <v>22</v>
      </c>
      <c r="E1722" t="s">
        <v>15</v>
      </c>
      <c r="F1722" t="s">
        <v>52</v>
      </c>
      <c r="G1722" t="s">
        <v>2219</v>
      </c>
      <c r="H1722">
        <f>HYPERLINK("https://www.jouwictvacature.nl/solliciteren?job=medior-c-net--reactjs-developer-zonder-cloud-vrees", "Link")</f>
        <v/>
      </c>
      <c r="I1722" t="s">
        <v>17</v>
      </c>
      <c r="J1722" t="s">
        <v>18</v>
      </c>
      <c r="K1722" t="s">
        <v>199</v>
      </c>
      <c r="L1722" t="s">
        <v>2220</v>
      </c>
    </row>
    <row hidden="1" r="1723" s="1" spans="1:12">
      <c r="A1723" s="4" t="n">
        <v>43162</v>
      </c>
      <c r="B1723" t="s">
        <v>2000</v>
      </c>
      <c r="C1723" t="s">
        <v>456</v>
      </c>
      <c r="D1723" t="s">
        <v>245</v>
      </c>
      <c r="E1723" t="s">
        <v>15</v>
      </c>
      <c r="F1723" t="s">
        <v>52</v>
      </c>
      <c r="G1723" t="s">
        <v>852</v>
      </c>
      <c r="H1723">
        <f>HYPERLINK("https://www.jouwictvacature.nl/solliciteren?job=microsoft-sharepoint-specialist-bij-sogeti-2", "Link")</f>
        <v/>
      </c>
      <c r="I1723" t="s">
        <v>17</v>
      </c>
      <c r="J1723" t="s">
        <v>18</v>
      </c>
      <c r="K1723" t="s">
        <v>458</v>
      </c>
      <c r="L1723" t="s">
        <v>853</v>
      </c>
    </row>
    <row hidden="1" r="1724" s="1" spans="1:12">
      <c r="A1724" s="4" t="n">
        <v>43162</v>
      </c>
      <c r="B1724" t="s">
        <v>1235</v>
      </c>
      <c r="C1724" t="s">
        <v>1236</v>
      </c>
      <c r="D1724" t="s">
        <v>245</v>
      </c>
      <c r="E1724" t="s">
        <v>15</v>
      </c>
      <c r="F1724" t="s">
        <v>52</v>
      </c>
      <c r="G1724" t="s">
        <v>2221</v>
      </c>
      <c r="H1724">
        <f>HYPERLINK("https://www.jouwictvacature.nl/solliciteren?job=medior-net-developer-voor-32-36-of-40-uur-per-week--net-core-c-angular", "Link")</f>
        <v/>
      </c>
      <c r="I1724" t="s">
        <v>17</v>
      </c>
      <c r="J1724" t="s">
        <v>18</v>
      </c>
      <c r="K1724" t="s">
        <v>1238</v>
      </c>
      <c r="L1724" t="s">
        <v>2222</v>
      </c>
    </row>
    <row hidden="1" r="1725" s="1" spans="1:12">
      <c r="A1725" s="4" t="n">
        <v>43162</v>
      </c>
      <c r="B1725" t="s">
        <v>382</v>
      </c>
      <c r="C1725" t="s">
        <v>274</v>
      </c>
      <c r="D1725" t="s">
        <v>14</v>
      </c>
      <c r="E1725" t="s">
        <v>15</v>
      </c>
      <c r="F1725" t="s">
        <v>16</v>
      </c>
      <c r="G1725" t="s">
        <v>382</v>
      </c>
      <c r="H1725">
        <f>HYPERLINK("https://www.jouwictvacature.nl/solliciteren?job=senior-back-end-software-engineer-bij-ortec", "Link")</f>
        <v/>
      </c>
      <c r="I1725" t="s">
        <v>17</v>
      </c>
      <c r="J1725" t="s">
        <v>18</v>
      </c>
      <c r="K1725" t="s">
        <v>1585</v>
      </c>
      <c r="L1725" t="s">
        <v>1586</v>
      </c>
    </row>
    <row hidden="1" r="1726" s="1" spans="1:12">
      <c r="A1726" s="4" t="n">
        <v>43162</v>
      </c>
      <c r="B1726" t="s">
        <v>2086</v>
      </c>
      <c r="C1726" t="s">
        <v>93</v>
      </c>
      <c r="D1726" t="s">
        <v>14</v>
      </c>
      <c r="E1726" t="s">
        <v>15</v>
      </c>
      <c r="F1726" t="s">
        <v>16</v>
      </c>
      <c r="G1726" t="s">
        <v>2086</v>
      </c>
      <c r="H1726">
        <f>HYPERLINK("https://www.jouwictvacature.nl/solliciteren?job=software-architect-net-bij-nxtconsult", "Link")</f>
        <v/>
      </c>
      <c r="I1726" t="s">
        <v>17</v>
      </c>
      <c r="J1726" t="s">
        <v>18</v>
      </c>
      <c r="K1726" t="s">
        <v>2087</v>
      </c>
      <c r="L1726" t="s">
        <v>2223</v>
      </c>
    </row>
    <row hidden="1" r="1727" s="1" spans="1:12">
      <c r="A1727" s="4" t="n">
        <v>43162</v>
      </c>
      <c r="B1727" t="s">
        <v>2094</v>
      </c>
      <c r="C1727" t="s">
        <v>2095</v>
      </c>
      <c r="D1727" t="s">
        <v>22</v>
      </c>
      <c r="E1727" t="s">
        <v>15</v>
      </c>
      <c r="F1727" t="s">
        <v>16</v>
      </c>
      <c r="G1727" t="s">
        <v>2224</v>
      </c>
      <c r="H1727">
        <f>HYPERLINK("https://www.jouwictvacature.nl/solliciteren?job=php-developer-bij-buro26-2", "Link")</f>
        <v/>
      </c>
      <c r="I1727" t="s">
        <v>17</v>
      </c>
      <c r="J1727" t="s">
        <v>18</v>
      </c>
      <c r="K1727" t="s">
        <v>2097</v>
      </c>
      <c r="L1727" t="s">
        <v>2225</v>
      </c>
    </row>
    <row hidden="1" r="1728" s="1" spans="1:12">
      <c r="A1728" s="4" t="n">
        <v>43162</v>
      </c>
      <c r="B1728" t="s">
        <v>553</v>
      </c>
      <c r="C1728" t="s">
        <v>554</v>
      </c>
      <c r="D1728" t="s">
        <v>245</v>
      </c>
      <c r="E1728" t="s">
        <v>15</v>
      </c>
      <c r="F1728" t="s">
        <v>16</v>
      </c>
      <c r="G1728" t="s">
        <v>553</v>
      </c>
      <c r="H1728">
        <f>HYPERLINK("https://www.jouwictvacature.nl/solliciteren?job=back-end-webdeveloper-bij-ultraware-in-assen", "Link")</f>
        <v/>
      </c>
      <c r="I1728" t="s">
        <v>17</v>
      </c>
      <c r="J1728" t="s">
        <v>18</v>
      </c>
      <c r="K1728" t="s">
        <v>2226</v>
      </c>
      <c r="L1728" t="s">
        <v>2227</v>
      </c>
    </row>
    <row hidden="1" r="1729" s="1" spans="1:12">
      <c r="A1729" s="4" t="n">
        <v>43162</v>
      </c>
      <c r="B1729" t="s">
        <v>432</v>
      </c>
      <c r="C1729" t="s">
        <v>433</v>
      </c>
      <c r="D1729" t="s">
        <v>245</v>
      </c>
      <c r="E1729" t="s">
        <v>15</v>
      </c>
      <c r="F1729" t="s">
        <v>16</v>
      </c>
      <c r="G1729" t="s">
        <v>1358</v>
      </c>
      <c r="H1729">
        <f>HYPERLINK("https://www.jouwictvacature.nl/solliciteren?job=medior-back-end-developer-regio-groningen", "Link")</f>
        <v/>
      </c>
      <c r="I1729" t="s">
        <v>17</v>
      </c>
      <c r="J1729" t="s">
        <v>18</v>
      </c>
      <c r="K1729" t="s">
        <v>435</v>
      </c>
      <c r="L1729" t="s">
        <v>1359</v>
      </c>
    </row>
    <row hidden="1" r="1730" s="1" spans="1:12">
      <c r="A1730" s="4" t="n">
        <v>43162</v>
      </c>
      <c r="B1730" t="s">
        <v>2094</v>
      </c>
      <c r="C1730" t="s">
        <v>2095</v>
      </c>
      <c r="D1730" t="s">
        <v>22</v>
      </c>
      <c r="E1730" t="s">
        <v>15</v>
      </c>
      <c r="F1730" t="s">
        <v>52</v>
      </c>
      <c r="G1730" t="s">
        <v>2096</v>
      </c>
      <c r="H1730">
        <f>HYPERLINK("https://www.jouwictvacature.nl/solliciteren?job=php-webdeveloper-bij-buro26-", "Link")</f>
        <v/>
      </c>
      <c r="I1730" t="s">
        <v>17</v>
      </c>
      <c r="J1730" t="s">
        <v>18</v>
      </c>
      <c r="K1730" t="s">
        <v>2097</v>
      </c>
      <c r="L1730" t="s">
        <v>2098</v>
      </c>
    </row>
    <row r="1731" spans="1:12">
      <c r="A1731" s="4" t="n">
        <v>43162</v>
      </c>
      <c r="B1731" t="s">
        <v>2004</v>
      </c>
      <c r="C1731" t="s">
        <v>1670</v>
      </c>
      <c r="D1731" t="s">
        <v>245</v>
      </c>
      <c r="E1731" t="s">
        <v>51</v>
      </c>
      <c r="F1731" t="s">
        <v>28</v>
      </c>
      <c r="G1731" t="s">
        <v>2228</v>
      </c>
      <c r="H1731">
        <f>HYPERLINK("https://www.jouwictvacature.nl/solliciteren?job=senior-javascript-developer-bij-the-people-group-2", "Link")</f>
        <v/>
      </c>
      <c r="I1731" t="s">
        <v>17</v>
      </c>
      <c r="J1731" t="s">
        <v>18</v>
      </c>
      <c r="K1731" t="s">
        <v>2009</v>
      </c>
      <c r="L1731" t="s">
        <v>2229</v>
      </c>
    </row>
    <row hidden="1" r="1732" s="1" spans="1:12">
      <c r="A1732" s="4" t="n">
        <v>43162</v>
      </c>
      <c r="B1732" t="s">
        <v>493</v>
      </c>
      <c r="C1732" t="s">
        <v>72</v>
      </c>
      <c r="D1732" t="s">
        <v>245</v>
      </c>
      <c r="E1732" t="s">
        <v>15</v>
      </c>
      <c r="F1732" t="s">
        <v>16</v>
      </c>
      <c r="G1732" t="s">
        <v>1799</v>
      </c>
      <c r="H1732">
        <f>HYPERLINK("https://www.jouwictvacature.nl/solliciteren?job=backend-koning-gezocht-regio-arnhem-php", "Link")</f>
        <v/>
      </c>
      <c r="I1732" t="s">
        <v>17</v>
      </c>
      <c r="J1732" t="s">
        <v>18</v>
      </c>
      <c r="K1732" t="s">
        <v>495</v>
      </c>
      <c r="L1732" t="s">
        <v>1800</v>
      </c>
    </row>
    <row hidden="1" r="1733" s="1" spans="1:12">
      <c r="A1733" s="4" t="n">
        <v>43162</v>
      </c>
      <c r="B1733" t="s">
        <v>881</v>
      </c>
      <c r="C1733" t="s">
        <v>428</v>
      </c>
      <c r="D1733" t="s">
        <v>22</v>
      </c>
      <c r="E1733" t="s">
        <v>15</v>
      </c>
      <c r="F1733" t="s">
        <v>34</v>
      </c>
      <c r="G1733" t="s">
        <v>2230</v>
      </c>
      <c r="H1733">
        <f>HYPERLINK("https://www.jouwictvacature.nl/solliciteren?job=junior-laravel-php-developer-bij-cepo", "Link")</f>
        <v/>
      </c>
      <c r="I1733" t="s">
        <v>17</v>
      </c>
      <c r="J1733" t="s">
        <v>18</v>
      </c>
      <c r="K1733" t="s">
        <v>883</v>
      </c>
      <c r="L1733" t="s">
        <v>2231</v>
      </c>
    </row>
    <row hidden="1" r="1734" s="1" spans="1:12">
      <c r="A1734" s="4" t="n">
        <v>43162</v>
      </c>
      <c r="B1734" t="s">
        <v>1140</v>
      </c>
      <c r="C1734" t="s">
        <v>1141</v>
      </c>
      <c r="D1734" t="s">
        <v>22</v>
      </c>
      <c r="E1734" t="s">
        <v>15</v>
      </c>
      <c r="F1734" t="s">
        <v>16</v>
      </c>
      <c r="G1734" t="s">
        <v>1142</v>
      </c>
      <c r="H1734">
        <f>HYPERLINK("https://www.jouwictvacature.nl/solliciteren?job=full-stack-developer-10", "Link")</f>
        <v/>
      </c>
      <c r="I1734" t="s">
        <v>17</v>
      </c>
      <c r="J1734" t="s">
        <v>18</v>
      </c>
      <c r="K1734" t="s">
        <v>1143</v>
      </c>
      <c r="L1734" t="s">
        <v>1144</v>
      </c>
    </row>
    <row hidden="1" r="1735" s="1" spans="1:12">
      <c r="A1735" s="4" t="n">
        <v>43162</v>
      </c>
      <c r="B1735" t="s">
        <v>878</v>
      </c>
      <c r="C1735" t="s">
        <v>2232</v>
      </c>
      <c r="D1735" t="s">
        <v>22</v>
      </c>
      <c r="E1735" t="s">
        <v>15</v>
      </c>
      <c r="F1735" t="s">
        <v>28</v>
      </c>
      <c r="G1735" t="s">
        <v>1743</v>
      </c>
      <c r="H1735">
        <f>HYPERLINK("https://www.jouwictvacature.nl/solliciteren?job=senior-php-developer-bij-divtag", "Link")</f>
        <v/>
      </c>
      <c r="I1735" t="s">
        <v>17</v>
      </c>
      <c r="J1735" t="s">
        <v>18</v>
      </c>
      <c r="K1735" t="s">
        <v>879</v>
      </c>
      <c r="L1735" t="s">
        <v>1744</v>
      </c>
    </row>
    <row r="1736" spans="1:12">
      <c r="A1736" s="4" t="n">
        <v>43162</v>
      </c>
      <c r="B1736" t="s">
        <v>2004</v>
      </c>
      <c r="C1736" t="s">
        <v>1670</v>
      </c>
      <c r="D1736" t="s">
        <v>245</v>
      </c>
      <c r="E1736" t="s">
        <v>51</v>
      </c>
      <c r="F1736" t="s">
        <v>52</v>
      </c>
      <c r="G1736" t="s">
        <v>2233</v>
      </c>
      <c r="H1736">
        <f>HYPERLINK("https://www.jouwictvacature.nl/solliciteren?job=medior-javascript-developer-bij-the-people-group-2", "Link")</f>
        <v/>
      </c>
      <c r="I1736" t="s">
        <v>17</v>
      </c>
      <c r="J1736" t="s">
        <v>18</v>
      </c>
      <c r="K1736" t="s">
        <v>2009</v>
      </c>
      <c r="L1736" t="s">
        <v>2234</v>
      </c>
    </row>
    <row hidden="1" r="1737" s="1" spans="1:12">
      <c r="A1737" s="4" t="n">
        <v>43162</v>
      </c>
      <c r="B1737" t="s">
        <v>1251</v>
      </c>
      <c r="C1737" t="s">
        <v>1252</v>
      </c>
      <c r="D1737" t="s">
        <v>14</v>
      </c>
      <c r="E1737" t="s">
        <v>15</v>
      </c>
      <c r="F1737" t="s">
        <v>16</v>
      </c>
      <c r="G1737" t="s">
        <v>1251</v>
      </c>
      <c r="H1737">
        <f>HYPERLINK("https://www.jouwictvacature.nl/solliciteren?job=mediorfront-end-developer-bij-webshop-indi-bij-indi", "Link")</f>
        <v/>
      </c>
      <c r="I1737" t="s">
        <v>17</v>
      </c>
      <c r="J1737" t="s">
        <v>18</v>
      </c>
      <c r="K1737" t="s">
        <v>1888</v>
      </c>
      <c r="L1737" t="s">
        <v>2235</v>
      </c>
    </row>
    <row hidden="1" r="1738" s="1" spans="1:12">
      <c r="A1738" s="4" t="n">
        <v>43162</v>
      </c>
      <c r="B1738" t="s">
        <v>574</v>
      </c>
      <c r="C1738" t="s">
        <v>575</v>
      </c>
      <c r="D1738" t="s">
        <v>245</v>
      </c>
      <c r="E1738" t="s">
        <v>15</v>
      </c>
      <c r="F1738" t="s">
        <v>34</v>
      </c>
      <c r="G1738" t="s">
        <v>579</v>
      </c>
      <c r="H1738">
        <f>HYPERLINK("https://www.jouwictvacature.nl/solliciteren?job=junior-ios-developer-bij-webbeat", "Link")</f>
        <v/>
      </c>
      <c r="I1738" t="s">
        <v>17</v>
      </c>
      <c r="J1738" t="s">
        <v>18</v>
      </c>
      <c r="K1738" t="s">
        <v>577</v>
      </c>
      <c r="L1738" t="s">
        <v>580</v>
      </c>
    </row>
    <row hidden="1" r="1739" s="1" spans="1:12">
      <c r="A1739" s="4" t="n">
        <v>43162</v>
      </c>
      <c r="B1739" t="s">
        <v>304</v>
      </c>
      <c r="C1739" t="s">
        <v>305</v>
      </c>
      <c r="D1739" t="s">
        <v>14</v>
      </c>
      <c r="E1739" t="s">
        <v>15</v>
      </c>
      <c r="F1739" t="s">
        <v>16</v>
      </c>
      <c r="G1739" t="s">
        <v>304</v>
      </c>
      <c r="H1739">
        <f>HYPERLINK("https://www.jouwictvacature.nl/solliciteren?job=senior-nodejs-software-engineer-bij-ksyos", "Link")</f>
        <v/>
      </c>
      <c r="I1739" t="s">
        <v>17</v>
      </c>
      <c r="J1739" t="s">
        <v>18</v>
      </c>
      <c r="K1739" t="s">
        <v>306</v>
      </c>
      <c r="L1739" t="s">
        <v>1673</v>
      </c>
    </row>
    <row hidden="1" r="1740" s="1" spans="1:12">
      <c r="A1740" s="4" t="n">
        <v>43162</v>
      </c>
      <c r="B1740" t="s">
        <v>2236</v>
      </c>
      <c r="C1740" t="s">
        <v>333</v>
      </c>
      <c r="D1740" t="s">
        <v>22</v>
      </c>
      <c r="E1740" t="s">
        <v>15</v>
      </c>
      <c r="F1740" t="s">
        <v>28</v>
      </c>
      <c r="G1740" t="s">
        <v>2237</v>
      </c>
      <c r="H1740">
        <f>HYPERLINK("https://www.jouwictvacature.nl/solliciteren?job=senior-full-stack-developer-bij-comandi-business-solutions-bv", "Link")</f>
        <v/>
      </c>
      <c r="I1740" t="s">
        <v>17</v>
      </c>
      <c r="J1740" t="s">
        <v>18</v>
      </c>
      <c r="K1740" t="s">
        <v>2238</v>
      </c>
      <c r="L1740" t="s">
        <v>2239</v>
      </c>
    </row>
    <row hidden="1" r="1741" s="1" spans="1:12">
      <c r="A1741" s="4" t="n">
        <v>43162</v>
      </c>
      <c r="B1741" t="s">
        <v>1847</v>
      </c>
      <c r="C1741" t="s">
        <v>1862</v>
      </c>
      <c r="D1741" t="s">
        <v>22</v>
      </c>
      <c r="E1741" t="s">
        <v>15</v>
      </c>
      <c r="F1741" t="s">
        <v>52</v>
      </c>
      <c r="G1741" t="s">
        <v>1863</v>
      </c>
      <c r="H1741">
        <f>HYPERLINK("https://www.jouwictvacature.nl/solliciteren?job=medior-creatieve-front-end-developer-3", "Link")</f>
        <v/>
      </c>
      <c r="I1741" t="s">
        <v>17</v>
      </c>
      <c r="J1741" t="s">
        <v>18</v>
      </c>
      <c r="K1741" t="s">
        <v>1849</v>
      </c>
      <c r="L1741" t="s">
        <v>1864</v>
      </c>
    </row>
    <row hidden="1" r="1742" s="1" spans="1:12">
      <c r="A1742" s="4" t="n">
        <v>43162</v>
      </c>
      <c r="B1742" t="s">
        <v>2004</v>
      </c>
      <c r="C1742" t="s">
        <v>1670</v>
      </c>
      <c r="D1742" t="s">
        <v>245</v>
      </c>
      <c r="E1742" t="s">
        <v>15</v>
      </c>
      <c r="F1742" t="s">
        <v>28</v>
      </c>
      <c r="G1742" t="s">
        <v>39</v>
      </c>
      <c r="H1742">
        <f>HYPERLINK("https://www.jouwictvacature.nl/solliciteren?job=senior-front-end-developer-bij-the-people-group", "Link")</f>
        <v/>
      </c>
      <c r="I1742" t="s">
        <v>17</v>
      </c>
      <c r="J1742" t="s">
        <v>18</v>
      </c>
      <c r="K1742" t="s">
        <v>2005</v>
      </c>
      <c r="L1742" t="s">
        <v>2200</v>
      </c>
    </row>
    <row hidden="1" r="1743" s="1" spans="1:12">
      <c r="A1743" s="4" t="n">
        <v>43162</v>
      </c>
      <c r="B1743" t="s">
        <v>2108</v>
      </c>
      <c r="C1743" t="s">
        <v>2109</v>
      </c>
      <c r="D1743" t="s">
        <v>14</v>
      </c>
      <c r="E1743" t="s">
        <v>15</v>
      </c>
      <c r="F1743" t="s">
        <v>28</v>
      </c>
      <c r="G1743" t="s">
        <v>39</v>
      </c>
      <c r="H1743">
        <f>HYPERLINK("https://www.jouwictvacature.nl/solliciteren?job=senior-front-end-developer-bij-mijnwebwinkel", "Link")</f>
        <v/>
      </c>
      <c r="I1743" t="s">
        <v>17</v>
      </c>
      <c r="J1743" t="s">
        <v>18</v>
      </c>
      <c r="K1743" t="s">
        <v>2111</v>
      </c>
      <c r="L1743" t="s">
        <v>2240</v>
      </c>
    </row>
    <row r="1744" spans="1:12">
      <c r="A1744" s="4" t="n">
        <v>43162</v>
      </c>
      <c r="B1744" t="s">
        <v>1413</v>
      </c>
      <c r="C1744" t="s">
        <v>137</v>
      </c>
      <c r="D1744" t="s">
        <v>22</v>
      </c>
      <c r="E1744" t="s">
        <v>51</v>
      </c>
      <c r="F1744" t="s">
        <v>16</v>
      </c>
      <c r="G1744" t="s">
        <v>1413</v>
      </c>
      <c r="H1744">
        <f>HYPERLINK("https://www.jouwictvacature.nl/solliciteren?job=javascript-engineer", "Link")</f>
        <v/>
      </c>
      <c r="I1744" t="s">
        <v>17</v>
      </c>
      <c r="J1744" t="s">
        <v>18</v>
      </c>
      <c r="K1744" t="s">
        <v>2241</v>
      </c>
      <c r="L1744" t="s">
        <v>2242</v>
      </c>
    </row>
    <row r="1745" spans="1:12">
      <c r="A1745" s="4" t="n">
        <v>43162</v>
      </c>
      <c r="B1745" t="s">
        <v>329</v>
      </c>
      <c r="C1745" t="s">
        <v>80</v>
      </c>
      <c r="D1745" t="s">
        <v>14</v>
      </c>
      <c r="E1745" t="s">
        <v>51</v>
      </c>
      <c r="F1745" t="s">
        <v>16</v>
      </c>
      <c r="G1745" t="s">
        <v>329</v>
      </c>
      <c r="H1745">
        <f>HYPERLINK("https://www.jouwictvacature.nl/solliciteren?job=medior-full-stack-developer-bij-member-get-member-bij-member-get-membe", "Link")</f>
        <v/>
      </c>
      <c r="I1745" t="s">
        <v>17</v>
      </c>
      <c r="J1745" t="s">
        <v>18</v>
      </c>
      <c r="K1745" t="s">
        <v>330</v>
      </c>
      <c r="L1745" t="s">
        <v>331</v>
      </c>
    </row>
    <row r="1746" spans="1:12">
      <c r="A1746" s="4" t="n">
        <v>43162</v>
      </c>
      <c r="B1746" t="s">
        <v>2192</v>
      </c>
      <c r="C1746" t="s">
        <v>93</v>
      </c>
      <c r="D1746" t="s">
        <v>22</v>
      </c>
      <c r="E1746" t="s">
        <v>51</v>
      </c>
      <c r="F1746" t="s">
        <v>28</v>
      </c>
      <c r="G1746" t="s">
        <v>321</v>
      </c>
      <c r="H1746">
        <f>HYPERLINK("https://www.jouwictvacature.nl/solliciteren?job=senior-javascript-developer-bij-hello-print", "Link")</f>
        <v/>
      </c>
      <c r="I1746" t="s">
        <v>17</v>
      </c>
      <c r="J1746" t="s">
        <v>18</v>
      </c>
      <c r="K1746" t="s">
        <v>2194</v>
      </c>
      <c r="L1746" t="s">
        <v>2243</v>
      </c>
    </row>
    <row r="1747" spans="1:12">
      <c r="A1747" s="4" t="n">
        <v>43163</v>
      </c>
      <c r="B1747" t="s">
        <v>61</v>
      </c>
      <c r="C1747" t="s">
        <v>62</v>
      </c>
      <c r="D1747" t="s">
        <v>22</v>
      </c>
      <c r="E1747" t="s">
        <v>51</v>
      </c>
      <c r="F1747" t="s">
        <v>28</v>
      </c>
      <c r="G1747" t="s">
        <v>66</v>
      </c>
      <c r="H1747">
        <f>HYPERLINK("https://www.jouwictvacature.nl/solliciteren?job=senior-software-engineer-at-axual--java-scala-apache-kafka-spring-bij-", "Link")</f>
        <v/>
      </c>
      <c r="I1747" t="s">
        <v>17</v>
      </c>
      <c r="J1747" t="s">
        <v>18</v>
      </c>
      <c r="K1747" t="s">
        <v>64</v>
      </c>
      <c r="L1747" t="s">
        <v>67</v>
      </c>
    </row>
    <row hidden="1" r="1748" s="1" spans="1:12">
      <c r="A1748" s="4" t="n">
        <v>43163</v>
      </c>
      <c r="B1748" t="s">
        <v>2244</v>
      </c>
      <c r="C1748" t="s">
        <v>45</v>
      </c>
      <c r="D1748" t="s">
        <v>22</v>
      </c>
      <c r="E1748" t="s">
        <v>15</v>
      </c>
      <c r="F1748" t="s">
        <v>16</v>
      </c>
      <c r="G1748" t="s">
        <v>2245</v>
      </c>
      <c r="H1748">
        <f>HYPERLINK("https://www.jouwictvacature.nl/solliciteren?job=young-professional-java-developer", "Link")</f>
        <v/>
      </c>
      <c r="I1748" t="s">
        <v>17</v>
      </c>
      <c r="J1748" t="s">
        <v>18</v>
      </c>
      <c r="K1748" t="s">
        <v>2246</v>
      </c>
      <c r="L1748" t="s">
        <v>2247</v>
      </c>
    </row>
    <row hidden="1" r="1749" s="1" spans="1:12">
      <c r="A1749" s="4" t="n">
        <v>43163</v>
      </c>
      <c r="B1749" t="s">
        <v>71</v>
      </c>
      <c r="C1749" t="s">
        <v>38</v>
      </c>
      <c r="D1749" t="s">
        <v>22</v>
      </c>
      <c r="E1749" t="s">
        <v>15</v>
      </c>
      <c r="F1749" t="s">
        <v>34</v>
      </c>
      <c r="G1749" t="s">
        <v>1545</v>
      </c>
      <c r="H1749">
        <f>HYPERLINK("https://www.jouwictvacature.nl/solliciteren?job=junior-agile-test-specialist-bij-bartosz-bij-bartosz-amsterdam", "Link")</f>
        <v/>
      </c>
      <c r="I1749" t="s">
        <v>17</v>
      </c>
      <c r="J1749" t="s">
        <v>18</v>
      </c>
      <c r="K1749" t="s">
        <v>91</v>
      </c>
      <c r="L1749" t="s">
        <v>1546</v>
      </c>
    </row>
    <row hidden="1" r="1750" s="1" spans="1:12">
      <c r="A1750" s="4" t="n">
        <v>43163</v>
      </c>
      <c r="B1750" t="s">
        <v>71</v>
      </c>
      <c r="C1750" t="s">
        <v>62</v>
      </c>
      <c r="D1750" t="s">
        <v>22</v>
      </c>
      <c r="E1750" t="s">
        <v>15</v>
      </c>
      <c r="F1750" t="s">
        <v>28</v>
      </c>
      <c r="G1750" t="s">
        <v>88</v>
      </c>
      <c r="H1750">
        <f>HYPERLINK("https://www.jouwictvacature.nl/solliciteren?job=senior-feedback-engineer-bij-bartosz-bij-bartosz-utrecht", "Link")</f>
        <v/>
      </c>
      <c r="I1750" t="s">
        <v>17</v>
      </c>
      <c r="J1750" t="s">
        <v>18</v>
      </c>
      <c r="K1750" t="s">
        <v>78</v>
      </c>
      <c r="L1750" t="s">
        <v>89</v>
      </c>
    </row>
    <row hidden="1" r="1751" s="1" spans="1:12">
      <c r="A1751" s="4" t="n">
        <v>43163</v>
      </c>
      <c r="B1751" t="s">
        <v>174</v>
      </c>
      <c r="C1751" t="s">
        <v>62</v>
      </c>
      <c r="D1751" t="s">
        <v>22</v>
      </c>
      <c r="E1751" t="s">
        <v>15</v>
      </c>
      <c r="F1751" t="s">
        <v>28</v>
      </c>
      <c r="G1751" t="s">
        <v>1057</v>
      </c>
      <c r="H1751">
        <f>HYPERLINK("https://www.jouwictvacature.nl/solliciteren?job=senior-java-backend-developer-bij-dpa-geos-bij-dpa-geos", "Link")</f>
        <v/>
      </c>
      <c r="I1751" t="s">
        <v>17</v>
      </c>
      <c r="J1751" t="s">
        <v>18</v>
      </c>
      <c r="K1751" t="s">
        <v>179</v>
      </c>
      <c r="L1751" t="s">
        <v>1058</v>
      </c>
    </row>
    <row r="1752" spans="1:12">
      <c r="A1752" s="4" t="n">
        <v>43163</v>
      </c>
      <c r="B1752" t="s">
        <v>2040</v>
      </c>
      <c r="C1752" t="s">
        <v>2041</v>
      </c>
      <c r="D1752" t="s">
        <v>22</v>
      </c>
      <c r="E1752" t="s">
        <v>51</v>
      </c>
      <c r="F1752" t="s">
        <v>16</v>
      </c>
      <c r="G1752" t="s">
        <v>2248</v>
      </c>
      <c r="H1752">
        <f>HYPERLINK("https://www.jouwictvacature.nl/solliciteren?job=experienced-full-stack-mobile-developer-at-findwhere-bij-findwhere", "Link")</f>
        <v/>
      </c>
      <c r="I1752" t="s">
        <v>17</v>
      </c>
      <c r="J1752" t="s">
        <v>18</v>
      </c>
      <c r="K1752" t="s">
        <v>2202</v>
      </c>
      <c r="L1752" t="s">
        <v>2249</v>
      </c>
    </row>
    <row hidden="1" r="1753" s="1" spans="1:12">
      <c r="A1753" s="4" t="n">
        <v>43163</v>
      </c>
      <c r="B1753" t="s">
        <v>497</v>
      </c>
      <c r="C1753" t="s">
        <v>498</v>
      </c>
      <c r="D1753" t="s">
        <v>245</v>
      </c>
      <c r="E1753" t="s">
        <v>15</v>
      </c>
      <c r="F1753" t="s">
        <v>34</v>
      </c>
      <c r="G1753" t="s">
        <v>502</v>
      </c>
      <c r="H1753">
        <f>HYPERLINK("https://www.jouwictvacature.nl/solliciteren?job=junior-full-stack-ontwikkelaar-bij-sysunite-bv", "Link")</f>
        <v/>
      </c>
      <c r="I1753" t="s">
        <v>17</v>
      </c>
      <c r="J1753" t="s">
        <v>18</v>
      </c>
      <c r="K1753" t="s">
        <v>500</v>
      </c>
      <c r="L1753" t="s">
        <v>503</v>
      </c>
    </row>
    <row hidden="1" r="1754" s="1" spans="1:12">
      <c r="A1754" s="4" t="n">
        <v>43163</v>
      </c>
      <c r="B1754" t="s">
        <v>378</v>
      </c>
      <c r="C1754" t="s">
        <v>309</v>
      </c>
      <c r="D1754" t="s">
        <v>14</v>
      </c>
      <c r="E1754" t="s">
        <v>15</v>
      </c>
      <c r="F1754" t="s">
        <v>16</v>
      </c>
      <c r="G1754" t="s">
        <v>379</v>
      </c>
      <c r="H1754">
        <f>HYPERLINK("https://www.jouwictvacature.nl/solliciteren?job=startende-developer-bij-opensatisfaction-te-amersfoort-bij-opensatisfa", "Link")</f>
        <v/>
      </c>
      <c r="I1754" t="s">
        <v>17</v>
      </c>
      <c r="J1754" t="s">
        <v>18</v>
      </c>
      <c r="K1754" t="s">
        <v>380</v>
      </c>
      <c r="L1754" t="s">
        <v>381</v>
      </c>
    </row>
    <row hidden="1" r="1755" s="1" spans="1:12">
      <c r="A1755" s="4" t="n">
        <v>43163</v>
      </c>
      <c r="B1755" t="s">
        <v>71</v>
      </c>
      <c r="C1755" t="s">
        <v>72</v>
      </c>
      <c r="D1755" t="s">
        <v>22</v>
      </c>
      <c r="E1755" t="s">
        <v>15</v>
      </c>
      <c r="F1755" t="s">
        <v>28</v>
      </c>
      <c r="G1755" t="s">
        <v>1215</v>
      </c>
      <c r="H1755">
        <f>HYPERLINK("https://www.jouwictvacature.nl/solliciteren?job=senior-testanalist-bij-bartosz-bij-bartosz-arnhem", "Link")</f>
        <v/>
      </c>
      <c r="I1755" t="s">
        <v>17</v>
      </c>
      <c r="J1755" t="s">
        <v>18</v>
      </c>
      <c r="K1755" t="s">
        <v>95</v>
      </c>
      <c r="L1755" t="s">
        <v>2250</v>
      </c>
    </row>
    <row hidden="1" r="1756" s="1" spans="1:12">
      <c r="A1756" s="4" t="n">
        <v>43163</v>
      </c>
      <c r="B1756" t="s">
        <v>508</v>
      </c>
      <c r="C1756" t="s">
        <v>513</v>
      </c>
      <c r="D1756" t="s">
        <v>245</v>
      </c>
      <c r="E1756" t="s">
        <v>15</v>
      </c>
      <c r="F1756" t="s">
        <v>28</v>
      </c>
      <c r="G1756" t="s">
        <v>2251</v>
      </c>
      <c r="H1756">
        <f>HYPERLINK("https://www.jouwictvacature.nl/solliciteren?job=medior-java-developer-", "Link")</f>
        <v/>
      </c>
      <c r="I1756" t="s">
        <v>17</v>
      </c>
      <c r="J1756" t="s">
        <v>18</v>
      </c>
      <c r="K1756" t="s">
        <v>511</v>
      </c>
      <c r="L1756" t="s">
        <v>2252</v>
      </c>
    </row>
    <row hidden="1" r="1757" s="1" spans="1:12">
      <c r="A1757" s="4" t="n">
        <v>43163</v>
      </c>
      <c r="B1757" t="s">
        <v>313</v>
      </c>
      <c r="C1757" t="s">
        <v>62</v>
      </c>
      <c r="D1757" t="s">
        <v>14</v>
      </c>
      <c r="E1757" t="s">
        <v>15</v>
      </c>
      <c r="F1757" t="s">
        <v>28</v>
      </c>
      <c r="G1757" t="s">
        <v>314</v>
      </c>
      <c r="H1757">
        <f>HYPERLINK("https://www.jouwictvacature.nl/solliciteren?job=medior-net-developer--werken-voor-klanten-als-kpn-ns-sanoma-media-en-e", "Link")</f>
        <v/>
      </c>
      <c r="I1757" t="s">
        <v>17</v>
      </c>
      <c r="J1757" t="s">
        <v>18</v>
      </c>
      <c r="K1757" t="s">
        <v>315</v>
      </c>
      <c r="L1757" t="s">
        <v>316</v>
      </c>
    </row>
    <row hidden="1" r="1758" s="1" spans="1:12">
      <c r="A1758" s="4" t="n">
        <v>43163</v>
      </c>
      <c r="B1758" t="s">
        <v>382</v>
      </c>
      <c r="C1758" t="s">
        <v>274</v>
      </c>
      <c r="D1758" t="s">
        <v>14</v>
      </c>
      <c r="E1758" t="s">
        <v>15</v>
      </c>
      <c r="F1758" t="s">
        <v>16</v>
      </c>
      <c r="G1758" t="s">
        <v>382</v>
      </c>
      <c r="H1758">
        <f>HYPERLINK("https://www.jouwictvacature.nl/solliciteren?job=junior-software-ontwikkelaar-bij-ortec", "Link")</f>
        <v/>
      </c>
      <c r="I1758" t="s">
        <v>17</v>
      </c>
      <c r="J1758" t="s">
        <v>18</v>
      </c>
      <c r="K1758" t="s">
        <v>781</v>
      </c>
      <c r="L1758" t="s">
        <v>782</v>
      </c>
    </row>
    <row hidden="1" r="1759" s="1" spans="1:12">
      <c r="A1759" s="4" t="n">
        <v>43163</v>
      </c>
      <c r="B1759" t="s">
        <v>313</v>
      </c>
      <c r="C1759" t="s">
        <v>62</v>
      </c>
      <c r="D1759" t="s">
        <v>14</v>
      </c>
      <c r="E1759" t="s">
        <v>15</v>
      </c>
      <c r="F1759" t="s">
        <v>16</v>
      </c>
      <c r="G1759" t="s">
        <v>1579</v>
      </c>
      <c r="H1759">
        <f>HYPERLINK("https://www.jouwictvacature.nl/solliciteren?job=development-net-bijbaan-voor-ambitieuze-studenten-hbowo-in-utrecht", "Link")</f>
        <v/>
      </c>
      <c r="I1759" t="s">
        <v>17</v>
      </c>
      <c r="J1759" t="s">
        <v>18</v>
      </c>
      <c r="K1759" t="s">
        <v>1580</v>
      </c>
      <c r="L1759" t="s">
        <v>1581</v>
      </c>
    </row>
    <row hidden="1" r="1760" s="1" spans="1:12">
      <c r="A1760" s="4" t="n">
        <v>43163</v>
      </c>
      <c r="B1760" t="s">
        <v>2089</v>
      </c>
      <c r="C1760" t="s">
        <v>309</v>
      </c>
      <c r="D1760" t="s">
        <v>14</v>
      </c>
      <c r="E1760" t="s">
        <v>15</v>
      </c>
      <c r="F1760" t="s">
        <v>16</v>
      </c>
      <c r="G1760" t="s">
        <v>2253</v>
      </c>
      <c r="H1760">
        <f>HYPERLINK("https://www.jouwictvacature.nl/solliciteren?job=lead-net-developer-bij-minescape-met-affiniteit-voor-cms", "Link")</f>
        <v/>
      </c>
      <c r="I1760" t="s">
        <v>17</v>
      </c>
      <c r="J1760" t="s">
        <v>18</v>
      </c>
      <c r="K1760" t="s">
        <v>2091</v>
      </c>
      <c r="L1760" t="s">
        <v>2254</v>
      </c>
    </row>
    <row hidden="1" r="1761" s="1" spans="1:12">
      <c r="A1761" s="4" t="n">
        <v>43163</v>
      </c>
      <c r="B1761" t="s">
        <v>142</v>
      </c>
      <c r="C1761" t="s">
        <v>143</v>
      </c>
      <c r="D1761" t="s">
        <v>22</v>
      </c>
      <c r="E1761" t="s">
        <v>15</v>
      </c>
      <c r="F1761" t="s">
        <v>52</v>
      </c>
      <c r="G1761" t="s">
        <v>147</v>
      </c>
      <c r="H1761">
        <f>HYPERLINK("https://www.jouwictvacature.nl/solliciteren?job=medior-allround-developer-bij-coas", "Link")</f>
        <v/>
      </c>
      <c r="I1761" t="s">
        <v>17</v>
      </c>
      <c r="J1761" t="s">
        <v>18</v>
      </c>
      <c r="K1761" t="s">
        <v>145</v>
      </c>
      <c r="L1761" t="s">
        <v>148</v>
      </c>
    </row>
    <row hidden="1" r="1762" s="1" spans="1:12">
      <c r="A1762" s="4" t="n">
        <v>43163</v>
      </c>
      <c r="B1762" t="s">
        <v>2000</v>
      </c>
      <c r="C1762" t="s">
        <v>456</v>
      </c>
      <c r="D1762" t="s">
        <v>245</v>
      </c>
      <c r="E1762" t="s">
        <v>15</v>
      </c>
      <c r="F1762" t="s">
        <v>16</v>
      </c>
      <c r="G1762" t="s">
        <v>2255</v>
      </c>
      <c r="H1762">
        <f>HYPERLINK("https://www.jouwictvacature.nl/solliciteren?job=net-engineer-in-de-randstad-junior-medior-senior-lead-architect", "Link")</f>
        <v/>
      </c>
      <c r="I1762" t="s">
        <v>17</v>
      </c>
      <c r="J1762" t="s">
        <v>18</v>
      </c>
      <c r="K1762" t="s">
        <v>466</v>
      </c>
      <c r="L1762" t="s">
        <v>2256</v>
      </c>
    </row>
    <row hidden="1" r="1763" s="1" spans="1:12">
      <c r="A1763" s="4" t="n">
        <v>43163</v>
      </c>
      <c r="B1763" t="s">
        <v>37</v>
      </c>
      <c r="C1763" t="s">
        <v>38</v>
      </c>
      <c r="D1763" t="s">
        <v>22</v>
      </c>
      <c r="E1763" t="s">
        <v>15</v>
      </c>
      <c r="F1763" t="s">
        <v>28</v>
      </c>
      <c r="G1763" t="s">
        <v>39</v>
      </c>
      <c r="H1763">
        <f>HYPERLINK("https://www.jouwictvacature.nl/solliciteren?job=senior-front-end-developer-bij-advitrae", "Link")</f>
        <v/>
      </c>
      <c r="I1763" t="s">
        <v>17</v>
      </c>
      <c r="J1763" t="s">
        <v>18</v>
      </c>
      <c r="K1763" t="s">
        <v>40</v>
      </c>
      <c r="L1763" t="s">
        <v>41</v>
      </c>
    </row>
    <row hidden="1" r="1764" s="1" spans="1:12">
      <c r="A1764" s="4" t="n">
        <v>43163</v>
      </c>
      <c r="B1764" t="s">
        <v>1235</v>
      </c>
      <c r="C1764" t="s">
        <v>1236</v>
      </c>
      <c r="D1764" t="s">
        <v>245</v>
      </c>
      <c r="E1764" t="s">
        <v>15</v>
      </c>
      <c r="F1764" t="s">
        <v>16</v>
      </c>
      <c r="G1764" t="s">
        <v>1293</v>
      </c>
      <c r="H1764">
        <f>HYPERLINK("https://www.jouwictvacature.nl/solliciteren?job=net-developer-4", "Link")</f>
        <v/>
      </c>
      <c r="I1764" t="s">
        <v>17</v>
      </c>
      <c r="J1764" t="s">
        <v>18</v>
      </c>
      <c r="K1764" t="s">
        <v>1238</v>
      </c>
      <c r="L1764" t="s">
        <v>1294</v>
      </c>
    </row>
    <row hidden="1" r="1765" s="1" spans="1:12">
      <c r="A1765" s="4" t="n">
        <v>43163</v>
      </c>
      <c r="B1765" t="s">
        <v>251</v>
      </c>
      <c r="C1765" t="s">
        <v>80</v>
      </c>
      <c r="D1765" t="s">
        <v>14</v>
      </c>
      <c r="E1765" t="s">
        <v>15</v>
      </c>
      <c r="F1765" t="s">
        <v>16</v>
      </c>
      <c r="G1765" t="s">
        <v>2257</v>
      </c>
      <c r="H1765">
        <f>HYPERLINK("https://www.jouwictvacature.nl/solliciteren?job=lead-net-developer-bij-icatt--studiebudget-en-mogelijkheid-voor-partti", "Link")</f>
        <v/>
      </c>
      <c r="I1765" t="s">
        <v>17</v>
      </c>
      <c r="J1765" t="s">
        <v>18</v>
      </c>
      <c r="K1765" t="s">
        <v>253</v>
      </c>
      <c r="L1765" t="s">
        <v>2258</v>
      </c>
    </row>
    <row hidden="1" r="1766" s="1" spans="1:12">
      <c r="A1766" s="4" t="n">
        <v>43163</v>
      </c>
      <c r="B1766" t="s">
        <v>308</v>
      </c>
      <c r="C1766" t="s">
        <v>309</v>
      </c>
      <c r="D1766" t="s">
        <v>14</v>
      </c>
      <c r="E1766" t="s">
        <v>15</v>
      </c>
      <c r="F1766" t="s">
        <v>16</v>
      </c>
      <c r="G1766" t="s">
        <v>937</v>
      </c>
      <c r="H1766">
        <f>HYPERLINK("https://www.jouwictvacature.nl/solliciteren?job=operator-bij-marketgraph-voor-in-de-mediabranche", "Link")</f>
        <v/>
      </c>
      <c r="I1766" t="s">
        <v>17</v>
      </c>
      <c r="J1766" t="s">
        <v>18</v>
      </c>
      <c r="K1766" t="s">
        <v>311</v>
      </c>
      <c r="L1766" t="s">
        <v>938</v>
      </c>
    </row>
    <row hidden="1" r="1767" s="1" spans="1:12">
      <c r="A1767" s="4" t="n">
        <v>43163</v>
      </c>
      <c r="B1767" t="s">
        <v>1760</v>
      </c>
      <c r="C1767" t="s">
        <v>62</v>
      </c>
      <c r="D1767" t="s">
        <v>245</v>
      </c>
      <c r="E1767" t="s">
        <v>15</v>
      </c>
      <c r="F1767" t="s">
        <v>16</v>
      </c>
      <c r="G1767" t="s">
        <v>1760</v>
      </c>
      <c r="H1767">
        <f>HYPERLINK("https://www.jouwictvacature.nl/solliciteren?job=backend-developer-bij-zeo-bij-zeo-2", "Link")</f>
        <v/>
      </c>
      <c r="I1767" t="s">
        <v>17</v>
      </c>
      <c r="J1767" t="s">
        <v>18</v>
      </c>
      <c r="K1767" t="s">
        <v>1844</v>
      </c>
      <c r="L1767" t="s">
        <v>2259</v>
      </c>
    </row>
    <row hidden="1" r="1768" s="1" spans="1:12">
      <c r="A1768" s="4" t="n">
        <v>43163</v>
      </c>
      <c r="B1768" t="s">
        <v>1360</v>
      </c>
      <c r="C1768" t="s">
        <v>1361</v>
      </c>
      <c r="D1768" t="s">
        <v>22</v>
      </c>
      <c r="E1768" t="s">
        <v>15</v>
      </c>
      <c r="F1768" t="s">
        <v>28</v>
      </c>
      <c r="G1768" t="s">
        <v>1774</v>
      </c>
      <c r="H1768">
        <f>HYPERLINK("https://www.jouwictvacature.nl/solliciteren?job=senior-back-end-developer-bij-deepdata-bij-deepdata", "Link")</f>
        <v/>
      </c>
      <c r="I1768" t="s">
        <v>17</v>
      </c>
      <c r="J1768" t="s">
        <v>18</v>
      </c>
      <c r="K1768" t="s">
        <v>1775</v>
      </c>
      <c r="L1768" t="s">
        <v>1776</v>
      </c>
    </row>
    <row hidden="1" r="1769" s="1" spans="1:12">
      <c r="A1769" s="4" t="n">
        <v>43163</v>
      </c>
      <c r="B1769" t="s">
        <v>942</v>
      </c>
      <c r="C1769" t="s">
        <v>943</v>
      </c>
      <c r="D1769" t="s">
        <v>245</v>
      </c>
      <c r="E1769" t="s">
        <v>15</v>
      </c>
      <c r="F1769" t="s">
        <v>52</v>
      </c>
      <c r="G1769" t="s">
        <v>944</v>
      </c>
      <c r="H1769">
        <f>HYPERLINK("https://www.jouwictvacature.nl/solliciteren?job=junior-php-webdeveloper-4", "Link")</f>
        <v/>
      </c>
      <c r="I1769" t="s">
        <v>17</v>
      </c>
      <c r="J1769" t="s">
        <v>18</v>
      </c>
      <c r="K1769" t="s">
        <v>945</v>
      </c>
      <c r="L1769" t="s">
        <v>946</v>
      </c>
    </row>
    <row hidden="1" r="1770" s="1" spans="1:12">
      <c r="A1770" s="4" t="n">
        <v>43163</v>
      </c>
      <c r="B1770" t="s">
        <v>553</v>
      </c>
      <c r="C1770" t="s">
        <v>554</v>
      </c>
      <c r="D1770" t="s">
        <v>245</v>
      </c>
      <c r="E1770" t="s">
        <v>15</v>
      </c>
      <c r="F1770" t="s">
        <v>16</v>
      </c>
      <c r="G1770" t="s">
        <v>553</v>
      </c>
      <c r="H1770">
        <f>HYPERLINK("https://www.jouwictvacature.nl/solliciteren?job=webdeveloper-bij-ultraware-in-assen", "Link")</f>
        <v/>
      </c>
      <c r="I1770" t="s">
        <v>17</v>
      </c>
      <c r="J1770" t="s">
        <v>18</v>
      </c>
      <c r="K1770" t="s">
        <v>559</v>
      </c>
      <c r="L1770" t="s">
        <v>560</v>
      </c>
    </row>
    <row hidden="1" r="1771" s="1" spans="1:12">
      <c r="A1771" s="4" t="n">
        <v>43163</v>
      </c>
      <c r="B1771" t="s">
        <v>2016</v>
      </c>
      <c r="C1771" t="s">
        <v>2017</v>
      </c>
      <c r="D1771" t="s">
        <v>22</v>
      </c>
      <c r="E1771" t="s">
        <v>15</v>
      </c>
      <c r="F1771" t="s">
        <v>16</v>
      </c>
      <c r="G1771" t="s">
        <v>2016</v>
      </c>
      <c r="H1771">
        <f>HYPERLINK("https://www.jouwictvacature.nl/solliciteren?job=nodejs-developer-met-php-ervaring-", "Link")</f>
        <v/>
      </c>
      <c r="I1771" t="s">
        <v>17</v>
      </c>
      <c r="J1771" t="s">
        <v>18</v>
      </c>
      <c r="K1771" t="s">
        <v>2163</v>
      </c>
      <c r="L1771" t="s">
        <v>2164</v>
      </c>
    </row>
    <row hidden="1" r="1772" s="1" spans="1:12">
      <c r="A1772" s="4" t="n">
        <v>43163</v>
      </c>
      <c r="B1772" t="s">
        <v>585</v>
      </c>
      <c r="C1772" t="s">
        <v>586</v>
      </c>
      <c r="D1772" t="s">
        <v>245</v>
      </c>
      <c r="E1772" t="s">
        <v>15</v>
      </c>
      <c r="F1772" t="s">
        <v>16</v>
      </c>
      <c r="G1772" t="s">
        <v>2260</v>
      </c>
      <c r="H1772">
        <f>HYPERLINK("https://www.jouwictvacature.nl/solliciteren?job=allround-php-developer-medior-", "Link")</f>
        <v/>
      </c>
      <c r="I1772" t="s">
        <v>17</v>
      </c>
      <c r="J1772" t="s">
        <v>18</v>
      </c>
      <c r="K1772" t="s">
        <v>1751</v>
      </c>
      <c r="L1772" t="s">
        <v>2261</v>
      </c>
    </row>
    <row hidden="1" r="1773" s="1" spans="1:12">
      <c r="A1773" s="4" t="n">
        <v>43163</v>
      </c>
      <c r="B1773" t="s">
        <v>2159</v>
      </c>
      <c r="C1773" t="s">
        <v>309</v>
      </c>
      <c r="D1773" t="s">
        <v>245</v>
      </c>
      <c r="E1773" t="s">
        <v>15</v>
      </c>
      <c r="F1773" t="s">
        <v>52</v>
      </c>
      <c r="G1773" t="s">
        <v>2262</v>
      </c>
      <c r="H1773">
        <f>HYPERLINK("https://www.jouwictvacature.nl/solliciteren?job=php-developer-bij-future-of-finance-4", "Link")</f>
        <v/>
      </c>
      <c r="I1773" t="s">
        <v>17</v>
      </c>
      <c r="J1773" t="s">
        <v>18</v>
      </c>
      <c r="K1773" t="s">
        <v>2161</v>
      </c>
      <c r="L1773" t="s">
        <v>2263</v>
      </c>
    </row>
    <row hidden="1" r="1774" s="1" spans="1:12">
      <c r="A1774" s="4" t="n">
        <v>43163</v>
      </c>
      <c r="B1774" t="s">
        <v>568</v>
      </c>
      <c r="C1774" t="s">
        <v>157</v>
      </c>
      <c r="D1774" t="s">
        <v>245</v>
      </c>
      <c r="E1774" t="s">
        <v>15</v>
      </c>
      <c r="F1774" t="s">
        <v>16</v>
      </c>
      <c r="G1774" t="s">
        <v>572</v>
      </c>
      <c r="H1774">
        <f>HYPERLINK("https://www.jouwictvacature.nl/solliciteren?job=ervaren-wordpress-developer-gezocht", "Link")</f>
        <v/>
      </c>
      <c r="I1774" t="s">
        <v>17</v>
      </c>
      <c r="J1774" t="s">
        <v>18</v>
      </c>
      <c r="K1774" t="s">
        <v>570</v>
      </c>
      <c r="L1774" t="s">
        <v>573</v>
      </c>
    </row>
    <row r="1775" spans="1:12">
      <c r="A1775" s="4" t="n">
        <v>43163</v>
      </c>
      <c r="B1775" t="s">
        <v>2059</v>
      </c>
      <c r="C1775" t="s">
        <v>2060</v>
      </c>
      <c r="D1775" t="s">
        <v>14</v>
      </c>
      <c r="E1775" t="s">
        <v>51</v>
      </c>
      <c r="F1775" t="s">
        <v>16</v>
      </c>
      <c r="G1775" t="s">
        <v>2059</v>
      </c>
      <c r="H1775">
        <f>HYPERLINK("https://www.jouwictvacature.nl/solliciteren?job=experienced-software-developer-looking-for-the-next-step", "Link")</f>
        <v/>
      </c>
      <c r="I1775" t="s">
        <v>17</v>
      </c>
      <c r="J1775" t="s">
        <v>18</v>
      </c>
      <c r="K1775" t="s">
        <v>2264</v>
      </c>
      <c r="L1775" t="s">
        <v>2265</v>
      </c>
    </row>
    <row hidden="1" r="1776" s="1" spans="1:12">
      <c r="A1776" s="4" t="n">
        <v>43163</v>
      </c>
      <c r="B1776" t="s">
        <v>2266</v>
      </c>
      <c r="C1776" t="s">
        <v>796</v>
      </c>
      <c r="D1776" t="s">
        <v>22</v>
      </c>
      <c r="E1776" t="s">
        <v>15</v>
      </c>
      <c r="F1776" t="s">
        <v>16</v>
      </c>
      <c r="G1776" t="s">
        <v>2267</v>
      </c>
      <c r="H1776">
        <f>HYPERLINK("https://www.jouwictvacature.nl/solliciteren?job=ervaren-webontwikkelaar-2", "Link")</f>
        <v/>
      </c>
      <c r="I1776" t="s">
        <v>17</v>
      </c>
      <c r="J1776" t="s">
        <v>18</v>
      </c>
      <c r="K1776" t="s">
        <v>2268</v>
      </c>
      <c r="L1776" t="s">
        <v>2269</v>
      </c>
    </row>
    <row hidden="1" r="1777" s="1" spans="1:12">
      <c r="A1777" s="4" t="n">
        <v>43163</v>
      </c>
      <c r="B1777" t="s">
        <v>450</v>
      </c>
      <c r="C1777" t="s">
        <v>451</v>
      </c>
      <c r="D1777" t="s">
        <v>245</v>
      </c>
      <c r="E1777" t="s">
        <v>15</v>
      </c>
      <c r="F1777" t="s">
        <v>52</v>
      </c>
      <c r="G1777" t="s">
        <v>1158</v>
      </c>
      <c r="H1777">
        <f>HYPERLINK("https://www.jouwictvacature.nl/solliciteren?job=medior-java-developer-gezocht-voor-in-house-functie-te-houten-bij-sofi", "Link")</f>
        <v/>
      </c>
      <c r="I1777" t="s">
        <v>17</v>
      </c>
      <c r="J1777" t="s">
        <v>18</v>
      </c>
      <c r="K1777" t="s">
        <v>777</v>
      </c>
      <c r="L1777" t="s">
        <v>1159</v>
      </c>
    </row>
    <row hidden="1" r="1778" s="1" spans="1:12">
      <c r="A1778" s="4" t="n">
        <v>43163</v>
      </c>
      <c r="B1778" t="s">
        <v>71</v>
      </c>
      <c r="C1778" t="s">
        <v>76</v>
      </c>
      <c r="D1778" t="s">
        <v>22</v>
      </c>
      <c r="E1778" t="s">
        <v>15</v>
      </c>
      <c r="F1778" t="s">
        <v>52</v>
      </c>
      <c r="G1778" t="s">
        <v>77</v>
      </c>
      <c r="H1778">
        <f>HYPERLINK("https://www.jouwictvacature.nl/solliciteren?job=medior-feedback-engineer--exploratory-testing-context-driven-testing-b-7", "Link")</f>
        <v/>
      </c>
      <c r="I1778" t="s">
        <v>17</v>
      </c>
      <c r="J1778" t="s">
        <v>18</v>
      </c>
      <c r="K1778" t="s">
        <v>78</v>
      </c>
      <c r="L1778" t="s">
        <v>79</v>
      </c>
    </row>
    <row hidden="1" r="1779" s="1" spans="1:12">
      <c r="A1779" s="4" t="n">
        <v>43163</v>
      </c>
      <c r="B1779" t="s">
        <v>1812</v>
      </c>
      <c r="C1779" t="s">
        <v>93</v>
      </c>
      <c r="D1779" t="s">
        <v>14</v>
      </c>
      <c r="E1779" t="s">
        <v>15</v>
      </c>
      <c r="F1779" t="s">
        <v>28</v>
      </c>
      <c r="G1779" t="s">
        <v>1997</v>
      </c>
      <c r="H1779">
        <f>HYPERLINK("https://www.jouwictvacature.nl/solliciteren?job=seniorjava-developer--spring-jsp-tomcat-en-apache", "Link")</f>
        <v/>
      </c>
      <c r="I1779" t="s">
        <v>17</v>
      </c>
      <c r="J1779" t="s">
        <v>18</v>
      </c>
      <c r="K1779" t="s">
        <v>1998</v>
      </c>
      <c r="L1779" t="s">
        <v>1999</v>
      </c>
    </row>
    <row r="1780" spans="1:12">
      <c r="A1780" s="4" t="n">
        <v>43163</v>
      </c>
      <c r="B1780" t="s">
        <v>2040</v>
      </c>
      <c r="C1780" t="s">
        <v>2041</v>
      </c>
      <c r="D1780" t="s">
        <v>22</v>
      </c>
      <c r="E1780" t="s">
        <v>51</v>
      </c>
      <c r="F1780" t="s">
        <v>16</v>
      </c>
      <c r="G1780" t="s">
        <v>2270</v>
      </c>
      <c r="H1780">
        <f>HYPERLINK("https://www.jouwictvacature.nl/solliciteren?job=experienced-java-developer-at-findwhere-bij-findwhere", "Link")</f>
        <v/>
      </c>
      <c r="I1780" t="s">
        <v>17</v>
      </c>
      <c r="J1780" t="s">
        <v>18</v>
      </c>
      <c r="K1780" t="s">
        <v>2043</v>
      </c>
      <c r="L1780" t="s">
        <v>2271</v>
      </c>
    </row>
    <row hidden="1" r="1781" s="1" spans="1:12">
      <c r="A1781" s="4" t="n">
        <v>43163</v>
      </c>
      <c r="B1781" t="s">
        <v>174</v>
      </c>
      <c r="C1781" t="s">
        <v>93</v>
      </c>
      <c r="D1781" t="s">
        <v>22</v>
      </c>
      <c r="E1781" t="s">
        <v>15</v>
      </c>
      <c r="F1781" t="s">
        <v>28</v>
      </c>
      <c r="G1781" t="s">
        <v>1118</v>
      </c>
      <c r="H1781">
        <f>HYPERLINK("https://www.jouwictvacature.nl/solliciteren?job=senior-mobile-developer--ios-android-phonegap-objective-c-java-swift-b-4", "Link")</f>
        <v/>
      </c>
      <c r="I1781" t="s">
        <v>17</v>
      </c>
      <c r="J1781" t="s">
        <v>18</v>
      </c>
      <c r="K1781" t="s">
        <v>188</v>
      </c>
      <c r="L1781" t="s">
        <v>2272</v>
      </c>
    </row>
    <row hidden="1" r="1782" s="1" spans="1:12">
      <c r="A1782" s="4" t="n">
        <v>43163</v>
      </c>
      <c r="B1782" t="s">
        <v>237</v>
      </c>
      <c r="C1782" t="s">
        <v>62</v>
      </c>
      <c r="D1782" t="s">
        <v>22</v>
      </c>
      <c r="E1782" t="s">
        <v>15</v>
      </c>
      <c r="F1782" t="s">
        <v>16</v>
      </c>
      <c r="G1782" t="s">
        <v>1332</v>
      </c>
      <c r="H1782">
        <f>HYPERLINK("https://www.jouwictvacature.nl/solliciteren?job=developer-talent-gezocht", "Link")</f>
        <v/>
      </c>
      <c r="I1782" t="s">
        <v>17</v>
      </c>
      <c r="J1782" t="s">
        <v>18</v>
      </c>
      <c r="K1782" t="s">
        <v>1333</v>
      </c>
      <c r="L1782" t="s">
        <v>1334</v>
      </c>
    </row>
    <row hidden="1" r="1783" s="1" spans="1:12">
      <c r="A1783" s="4" t="n">
        <v>43163</v>
      </c>
      <c r="B1783" t="s">
        <v>136</v>
      </c>
      <c r="C1783" t="s">
        <v>137</v>
      </c>
      <c r="D1783" t="s">
        <v>22</v>
      </c>
      <c r="E1783" t="s">
        <v>15</v>
      </c>
      <c r="F1783" t="s">
        <v>16</v>
      </c>
      <c r="G1783" t="s">
        <v>138</v>
      </c>
      <c r="H1783">
        <f>HYPERLINK("https://www.jouwictvacature.nl/solliciteren?job=senior-software-engineer-bij-cgi", "Link")</f>
        <v/>
      </c>
      <c r="I1783" t="s">
        <v>17</v>
      </c>
      <c r="J1783" t="s">
        <v>18</v>
      </c>
      <c r="K1783" t="s">
        <v>139</v>
      </c>
      <c r="L1783" t="s">
        <v>141</v>
      </c>
    </row>
    <row hidden="1" r="1784" s="1" spans="1:12">
      <c r="A1784" s="4" t="n">
        <v>43163</v>
      </c>
      <c r="B1784" t="s">
        <v>1251</v>
      </c>
      <c r="C1784" t="s">
        <v>1252</v>
      </c>
      <c r="D1784" t="s">
        <v>14</v>
      </c>
      <c r="E1784" t="s">
        <v>15</v>
      </c>
      <c r="F1784" t="s">
        <v>16</v>
      </c>
      <c r="G1784" t="s">
        <v>1251</v>
      </c>
      <c r="H1784">
        <f>HYPERLINK("https://www.jouwictvacature.nl/solliciteren?job=technical-team-lead-bij-indi-in-leek", "Link")</f>
        <v/>
      </c>
      <c r="I1784" t="s">
        <v>17</v>
      </c>
      <c r="J1784" t="s">
        <v>18</v>
      </c>
      <c r="K1784" t="s">
        <v>1253</v>
      </c>
      <c r="L1784" t="s">
        <v>1497</v>
      </c>
    </row>
    <row hidden="1" r="1785" s="1" spans="1:12">
      <c r="A1785" s="4" t="n">
        <v>43163</v>
      </c>
      <c r="B1785" t="s">
        <v>2000</v>
      </c>
      <c r="C1785" t="s">
        <v>38</v>
      </c>
      <c r="D1785" t="s">
        <v>245</v>
      </c>
      <c r="E1785" t="s">
        <v>15</v>
      </c>
      <c r="F1785" t="s">
        <v>16</v>
      </c>
      <c r="G1785" t="s">
        <v>1533</v>
      </c>
      <c r="H1785">
        <f>HYPERLINK("https://www.jouwictvacature.nl/solliciteren?job=senior-net-engineer-bij-sogeti-5", "Link")</f>
        <v/>
      </c>
      <c r="I1785" t="s">
        <v>17</v>
      </c>
      <c r="J1785" t="s">
        <v>18</v>
      </c>
      <c r="K1785" t="s">
        <v>1130</v>
      </c>
      <c r="L1785" t="s">
        <v>1534</v>
      </c>
    </row>
    <row hidden="1" r="1786" s="1" spans="1:12">
      <c r="A1786" s="4" t="n">
        <v>43163</v>
      </c>
      <c r="B1786" t="s">
        <v>693</v>
      </c>
      <c r="C1786" t="s">
        <v>694</v>
      </c>
      <c r="D1786" t="s">
        <v>22</v>
      </c>
      <c r="E1786" t="s">
        <v>15</v>
      </c>
      <c r="F1786" t="s">
        <v>16</v>
      </c>
      <c r="G1786" t="s">
        <v>693</v>
      </c>
      <c r="H1786">
        <f>HYPERLINK("https://www.jouwictvacature.nl/solliciteren?job=traineeship-mendix-developer-bij-de-goudse-verzekeringen-bij-de-goudse", "Link")</f>
        <v/>
      </c>
      <c r="I1786" t="s">
        <v>17</v>
      </c>
      <c r="J1786" t="s">
        <v>18</v>
      </c>
      <c r="K1786" t="s">
        <v>1163</v>
      </c>
      <c r="L1786" t="s">
        <v>1164</v>
      </c>
    </row>
    <row hidden="1" r="1787" s="1" spans="1:12">
      <c r="A1787" s="4" t="n">
        <v>43163</v>
      </c>
      <c r="B1787" t="s">
        <v>2000</v>
      </c>
      <c r="C1787" t="s">
        <v>45</v>
      </c>
      <c r="D1787" t="s">
        <v>245</v>
      </c>
      <c r="E1787" t="s">
        <v>15</v>
      </c>
      <c r="F1787" t="s">
        <v>16</v>
      </c>
      <c r="G1787" t="s">
        <v>934</v>
      </c>
      <c r="H1787">
        <f>HYPERLINK("https://www.jouwictvacature.nl/solliciteren?job=young-professional-microsoft-net-bij-sogeti-6", "Link")</f>
        <v/>
      </c>
      <c r="I1787" t="s">
        <v>17</v>
      </c>
      <c r="J1787" t="s">
        <v>18</v>
      </c>
      <c r="K1787" t="s">
        <v>935</v>
      </c>
      <c r="L1787" t="s">
        <v>936</v>
      </c>
    </row>
    <row hidden="1" r="1788" s="1" spans="1:12">
      <c r="A1788" s="4" t="n">
        <v>43163</v>
      </c>
      <c r="B1788" t="s">
        <v>985</v>
      </c>
      <c r="C1788" t="s">
        <v>986</v>
      </c>
      <c r="D1788" t="s">
        <v>245</v>
      </c>
      <c r="E1788" t="s">
        <v>15</v>
      </c>
      <c r="F1788" t="s">
        <v>16</v>
      </c>
      <c r="G1788" t="s">
        <v>2273</v>
      </c>
      <c r="H1788">
        <f>HYPERLINK("https://www.jouwictvacature.nl/solliciteren?job=lead-net-developer-bij-utilize-voor-32-36-of-40-uur-per-week", "Link")</f>
        <v/>
      </c>
      <c r="I1788" t="s">
        <v>17</v>
      </c>
      <c r="J1788" t="s">
        <v>18</v>
      </c>
      <c r="K1788" t="s">
        <v>988</v>
      </c>
      <c r="L1788" t="s">
        <v>2274</v>
      </c>
    </row>
    <row hidden="1" r="1789" s="1" spans="1:12">
      <c r="A1789" s="4" t="n">
        <v>43163</v>
      </c>
      <c r="B1789" t="s">
        <v>251</v>
      </c>
      <c r="C1789" t="s">
        <v>80</v>
      </c>
      <c r="D1789" t="s">
        <v>14</v>
      </c>
      <c r="E1789" t="s">
        <v>15</v>
      </c>
      <c r="F1789" t="s">
        <v>28</v>
      </c>
      <c r="G1789" t="s">
        <v>2275</v>
      </c>
      <c r="H1789">
        <f>HYPERLINK("https://www.jouwictvacature.nl/solliciteren?job=senior-enof-lead-net-developer-bij-icatt-in-hartje-amsterdam", "Link")</f>
        <v/>
      </c>
      <c r="I1789" t="s">
        <v>17</v>
      </c>
      <c r="J1789" t="s">
        <v>18</v>
      </c>
      <c r="K1789" t="s">
        <v>624</v>
      </c>
      <c r="L1789" t="s">
        <v>864</v>
      </c>
    </row>
    <row hidden="1" r="1790" s="1" spans="1:12">
      <c r="A1790" s="4" t="n">
        <v>43163</v>
      </c>
      <c r="B1790" t="s">
        <v>2089</v>
      </c>
      <c r="C1790" t="s">
        <v>309</v>
      </c>
      <c r="D1790" t="s">
        <v>14</v>
      </c>
      <c r="E1790" t="s">
        <v>15</v>
      </c>
      <c r="F1790" t="s">
        <v>16</v>
      </c>
      <c r="G1790" t="s">
        <v>2090</v>
      </c>
      <c r="H1790">
        <f>HYPERLINK("https://www.jouwictvacature.nl/solliciteren?job=net-software-developer-bij-minescape", "Link")</f>
        <v/>
      </c>
      <c r="I1790" t="s">
        <v>17</v>
      </c>
      <c r="J1790" t="s">
        <v>18</v>
      </c>
      <c r="K1790" t="s">
        <v>2091</v>
      </c>
      <c r="L1790" t="s">
        <v>2092</v>
      </c>
    </row>
    <row hidden="1" r="1791" s="1" spans="1:12">
      <c r="A1791" s="4" t="n">
        <v>43163</v>
      </c>
      <c r="B1791" t="s">
        <v>37</v>
      </c>
      <c r="C1791" t="s">
        <v>38</v>
      </c>
      <c r="D1791" t="s">
        <v>22</v>
      </c>
      <c r="E1791" t="s">
        <v>15</v>
      </c>
      <c r="F1791" t="s">
        <v>52</v>
      </c>
      <c r="G1791" t="s">
        <v>665</v>
      </c>
      <c r="H1791">
        <f>HYPERLINK("https://www.jouwictvacature.nl/solliciteren?job=medior-front-end-developer-19", "Link")</f>
        <v/>
      </c>
      <c r="I1791" t="s">
        <v>17</v>
      </c>
      <c r="J1791" t="s">
        <v>18</v>
      </c>
      <c r="K1791" t="s">
        <v>40</v>
      </c>
      <c r="L1791" t="s">
        <v>912</v>
      </c>
    </row>
    <row hidden="1" r="1792" s="1" spans="1:12">
      <c r="A1792" s="4" t="n">
        <v>43163</v>
      </c>
      <c r="B1792" t="s">
        <v>210</v>
      </c>
      <c r="C1792" t="s">
        <v>62</v>
      </c>
      <c r="D1792" t="s">
        <v>22</v>
      </c>
      <c r="E1792" t="s">
        <v>15</v>
      </c>
      <c r="F1792" t="s">
        <v>16</v>
      </c>
      <c r="G1792" t="s">
        <v>210</v>
      </c>
      <c r="H1792">
        <f>HYPERLINK("https://www.jouwictvacature.nl/solliciteren?job=medior-ontwikkelaar-bij-finavista-2", "Link")</f>
        <v/>
      </c>
      <c r="I1792" t="s">
        <v>17</v>
      </c>
      <c r="J1792" t="s">
        <v>18</v>
      </c>
      <c r="K1792" t="s">
        <v>211</v>
      </c>
      <c r="L1792" t="s">
        <v>212</v>
      </c>
    </row>
    <row hidden="1" r="1793" s="1" spans="1:12">
      <c r="A1793" s="4" t="n">
        <v>43163</v>
      </c>
      <c r="B1793" t="s">
        <v>985</v>
      </c>
      <c r="C1793" t="s">
        <v>986</v>
      </c>
      <c r="D1793" t="s">
        <v>245</v>
      </c>
      <c r="E1793" t="s">
        <v>15</v>
      </c>
      <c r="F1793" t="s">
        <v>16</v>
      </c>
      <c r="G1793" t="s">
        <v>2276</v>
      </c>
      <c r="H1793">
        <f>HYPERLINK("https://www.jouwictvacature.nl/solliciteren?job=lead-net-developer-bij-utilize--net-core--nosql--microservices", "Link")</f>
        <v/>
      </c>
      <c r="I1793" t="s">
        <v>17</v>
      </c>
      <c r="J1793" t="s">
        <v>18</v>
      </c>
      <c r="K1793" t="s">
        <v>988</v>
      </c>
      <c r="L1793" t="s">
        <v>2277</v>
      </c>
    </row>
    <row hidden="1" r="1794" s="1" spans="1:12">
      <c r="A1794" s="4" t="n">
        <v>43163</v>
      </c>
      <c r="B1794" t="s">
        <v>693</v>
      </c>
      <c r="C1794" t="s">
        <v>694</v>
      </c>
      <c r="D1794" t="s">
        <v>22</v>
      </c>
      <c r="E1794" t="s">
        <v>15</v>
      </c>
      <c r="F1794" t="s">
        <v>16</v>
      </c>
      <c r="G1794" t="s">
        <v>693</v>
      </c>
      <c r="H1794">
        <f>HYPERLINK("https://www.jouwictvacature.nl/solliciteren?job=junior-mendix-developer-bij-de-goudse", "Link")</f>
        <v/>
      </c>
      <c r="I1794" t="s">
        <v>17</v>
      </c>
      <c r="J1794" t="s">
        <v>18</v>
      </c>
      <c r="K1794" t="s">
        <v>994</v>
      </c>
      <c r="L1794" t="s">
        <v>1210</v>
      </c>
    </row>
    <row hidden="1" r="1795" s="1" spans="1:12">
      <c r="A1795" s="4" t="n">
        <v>43163</v>
      </c>
      <c r="B1795" t="s">
        <v>244</v>
      </c>
      <c r="C1795" t="s">
        <v>45</v>
      </c>
      <c r="D1795" t="s">
        <v>22</v>
      </c>
      <c r="E1795" t="s">
        <v>15</v>
      </c>
      <c r="F1795" t="s">
        <v>28</v>
      </c>
      <c r="G1795" t="s">
        <v>246</v>
      </c>
      <c r="H1795">
        <f>HYPERLINK("https://www.jouwictvacature.nl/solliciteren?job=senior-back-end-developer-4", "Link")</f>
        <v/>
      </c>
      <c r="I1795" t="s">
        <v>17</v>
      </c>
      <c r="J1795" t="s">
        <v>18</v>
      </c>
      <c r="K1795" t="s">
        <v>247</v>
      </c>
      <c r="L1795" t="s">
        <v>248</v>
      </c>
    </row>
    <row hidden="1" r="1796" s="1" spans="1:12">
      <c r="A1796" s="4" t="n">
        <v>43163</v>
      </c>
      <c r="B1796" t="s">
        <v>1760</v>
      </c>
      <c r="C1796" t="s">
        <v>62</v>
      </c>
      <c r="D1796" t="s">
        <v>245</v>
      </c>
      <c r="E1796" t="s">
        <v>15</v>
      </c>
      <c r="F1796" t="s">
        <v>16</v>
      </c>
      <c r="G1796" t="s">
        <v>1760</v>
      </c>
      <c r="H1796">
        <f>HYPERLINK("https://www.jouwictvacature.nl/solliciteren?job=backend-developer-bij-zeo-bij-zeo-2", "Link")</f>
        <v/>
      </c>
      <c r="I1796" t="s">
        <v>17</v>
      </c>
      <c r="J1796" t="s">
        <v>18</v>
      </c>
      <c r="K1796" t="s">
        <v>1844</v>
      </c>
      <c r="L1796" t="s">
        <v>2259</v>
      </c>
    </row>
    <row hidden="1" r="1797" s="1" spans="1:12">
      <c r="A1797" s="4" t="n">
        <v>43163</v>
      </c>
      <c r="B1797" t="s">
        <v>26</v>
      </c>
      <c r="C1797" t="s">
        <v>27</v>
      </c>
      <c r="D1797" t="s">
        <v>22</v>
      </c>
      <c r="E1797" t="s">
        <v>15</v>
      </c>
      <c r="F1797" t="s">
        <v>34</v>
      </c>
      <c r="G1797" t="s">
        <v>793</v>
      </c>
      <c r="H1797">
        <f>HYPERLINK("https://www.jouwictvacature.nl/solliciteren?job=junior-laravel-developer-bij-aan-zee-communicatie", "Link")</f>
        <v/>
      </c>
      <c r="I1797" t="s">
        <v>17</v>
      </c>
      <c r="J1797" t="s">
        <v>18</v>
      </c>
      <c r="K1797" t="s">
        <v>30</v>
      </c>
      <c r="L1797" t="s">
        <v>794</v>
      </c>
    </row>
    <row hidden="1" r="1798" s="1" spans="1:12">
      <c r="A1798" s="4" t="n">
        <v>43163</v>
      </c>
      <c r="B1798" t="s">
        <v>813</v>
      </c>
      <c r="C1798" t="s">
        <v>309</v>
      </c>
      <c r="D1798" t="s">
        <v>245</v>
      </c>
      <c r="E1798" t="s">
        <v>15</v>
      </c>
      <c r="F1798" t="s">
        <v>28</v>
      </c>
      <c r="G1798" t="s">
        <v>814</v>
      </c>
      <c r="H1798">
        <f>HYPERLINK("https://www.jouwictvacature.nl/solliciteren?job=senior-full-stack-ontwikkelaar-bij-telserv-bij-telserv", "Link")</f>
        <v/>
      </c>
      <c r="I1798" t="s">
        <v>17</v>
      </c>
      <c r="J1798" t="s">
        <v>18</v>
      </c>
      <c r="K1798" t="s">
        <v>815</v>
      </c>
      <c r="L1798" t="s">
        <v>816</v>
      </c>
    </row>
    <row hidden="1" r="1799" s="1" spans="1:12">
      <c r="A1799" s="4" t="n">
        <v>43163</v>
      </c>
      <c r="B1799" t="s">
        <v>585</v>
      </c>
      <c r="C1799" t="s">
        <v>586</v>
      </c>
      <c r="D1799" t="s">
        <v>245</v>
      </c>
      <c r="E1799" t="s">
        <v>15</v>
      </c>
      <c r="F1799" t="s">
        <v>52</v>
      </c>
      <c r="G1799" t="s">
        <v>2278</v>
      </c>
      <c r="H1799">
        <f>HYPERLINK("https://www.jouwictvacature.nl/solliciteren?job=allround-php-webontwikkelaar", "Link")</f>
        <v/>
      </c>
      <c r="I1799" t="s">
        <v>17</v>
      </c>
      <c r="J1799" t="s">
        <v>18</v>
      </c>
      <c r="K1799" t="s">
        <v>588</v>
      </c>
      <c r="L1799" t="s">
        <v>2279</v>
      </c>
    </row>
    <row hidden="1" r="1800" s="1" spans="1:12">
      <c r="A1800" s="4" t="n">
        <v>43163</v>
      </c>
      <c r="B1800" t="s">
        <v>585</v>
      </c>
      <c r="C1800" t="s">
        <v>586</v>
      </c>
      <c r="D1800" t="s">
        <v>245</v>
      </c>
      <c r="E1800" t="s">
        <v>15</v>
      </c>
      <c r="F1800" t="s">
        <v>16</v>
      </c>
      <c r="G1800" t="s">
        <v>2260</v>
      </c>
      <c r="H1800">
        <f>HYPERLINK("https://www.jouwictvacature.nl/solliciteren?job=allround-php-developer-medior-", "Link")</f>
        <v/>
      </c>
      <c r="I1800" t="s">
        <v>17</v>
      </c>
      <c r="J1800" t="s">
        <v>18</v>
      </c>
      <c r="K1800" t="s">
        <v>1751</v>
      </c>
      <c r="L1800" t="s">
        <v>2261</v>
      </c>
    </row>
    <row hidden="1" r="1801" s="1" spans="1:12">
      <c r="A1801" s="4" t="n">
        <v>43163</v>
      </c>
      <c r="B1801" t="s">
        <v>585</v>
      </c>
      <c r="C1801" t="s">
        <v>586</v>
      </c>
      <c r="D1801" t="s">
        <v>245</v>
      </c>
      <c r="E1801" t="s">
        <v>15</v>
      </c>
      <c r="F1801" t="s">
        <v>16</v>
      </c>
      <c r="G1801" t="s">
        <v>713</v>
      </c>
      <c r="H1801">
        <f>HYPERLINK("https://www.jouwictvacature.nl/solliciteren?job=allround-php-webontwikkelaar-2", "Link")</f>
        <v/>
      </c>
      <c r="I1801" t="s">
        <v>17</v>
      </c>
      <c r="J1801" t="s">
        <v>18</v>
      </c>
      <c r="K1801" t="s">
        <v>588</v>
      </c>
      <c r="L1801" t="s">
        <v>714</v>
      </c>
    </row>
    <row hidden="1" r="1802" s="1" spans="1:12">
      <c r="A1802" s="4" t="n">
        <v>43163</v>
      </c>
      <c r="B1802" t="s">
        <v>26</v>
      </c>
      <c r="C1802" t="s">
        <v>27</v>
      </c>
      <c r="D1802" t="s">
        <v>22</v>
      </c>
      <c r="E1802" t="s">
        <v>15</v>
      </c>
      <c r="F1802" t="s">
        <v>52</v>
      </c>
      <c r="G1802" t="s">
        <v>1524</v>
      </c>
      <c r="H1802">
        <f>HYPERLINK("https://www.jouwictvacature.nl/solliciteren?job=medior-php-back-end-developer-bij-aan-zee-communicatie", "Link")</f>
        <v/>
      </c>
      <c r="I1802" t="s">
        <v>17</v>
      </c>
      <c r="J1802" t="s">
        <v>18</v>
      </c>
      <c r="K1802" t="s">
        <v>30</v>
      </c>
      <c r="L1802" t="s">
        <v>1525</v>
      </c>
    </row>
    <row hidden="1" r="1803" s="1" spans="1:12">
      <c r="A1803" s="4" t="n">
        <v>43163</v>
      </c>
      <c r="B1803" t="s">
        <v>585</v>
      </c>
      <c r="C1803" t="s">
        <v>586</v>
      </c>
      <c r="D1803" t="s">
        <v>245</v>
      </c>
      <c r="E1803" t="s">
        <v>15</v>
      </c>
      <c r="F1803" t="s">
        <v>16</v>
      </c>
      <c r="G1803" t="s">
        <v>1750</v>
      </c>
      <c r="H1803">
        <f>HYPERLINK("https://www.jouwictvacature.nl/solliciteren?job=senior-php-webontwikkelaar-met-kennis-van-laravel", "Link")</f>
        <v/>
      </c>
      <c r="I1803" t="s">
        <v>17</v>
      </c>
      <c r="J1803" t="s">
        <v>18</v>
      </c>
      <c r="K1803" t="s">
        <v>1751</v>
      </c>
      <c r="L1803" t="s">
        <v>1752</v>
      </c>
    </row>
    <row hidden="1" r="1804" s="1" spans="1:12">
      <c r="A1804" s="4" t="n">
        <v>43163</v>
      </c>
      <c r="B1804" t="s">
        <v>878</v>
      </c>
      <c r="C1804" t="s">
        <v>2232</v>
      </c>
      <c r="D1804" t="s">
        <v>22</v>
      </c>
      <c r="E1804" t="s">
        <v>15</v>
      </c>
      <c r="F1804" t="s">
        <v>28</v>
      </c>
      <c r="G1804" t="s">
        <v>1743</v>
      </c>
      <c r="H1804">
        <f>HYPERLINK("https://www.jouwictvacature.nl/solliciteren?job=senior-php-developer-bij-divtag", "Link")</f>
        <v/>
      </c>
      <c r="I1804" t="s">
        <v>17</v>
      </c>
      <c r="J1804" t="s">
        <v>18</v>
      </c>
      <c r="K1804" t="s">
        <v>879</v>
      </c>
      <c r="L1804" t="s">
        <v>1744</v>
      </c>
    </row>
    <row hidden="1" r="1805" s="1" spans="1:12">
      <c r="A1805" s="4" t="n">
        <v>43163</v>
      </c>
      <c r="B1805" t="s">
        <v>745</v>
      </c>
      <c r="C1805" t="s">
        <v>80</v>
      </c>
      <c r="D1805" t="s">
        <v>22</v>
      </c>
      <c r="E1805" t="s">
        <v>15</v>
      </c>
      <c r="F1805" t="s">
        <v>16</v>
      </c>
      <c r="G1805" t="s">
        <v>745</v>
      </c>
      <c r="H1805">
        <f>HYPERLINK("https://www.jouwictvacature.nl/solliciteren?job=medior-user-experience-ux-designer-bij-hostnet", "Link")</f>
        <v/>
      </c>
      <c r="I1805" t="s">
        <v>17</v>
      </c>
      <c r="J1805" t="s">
        <v>18</v>
      </c>
      <c r="K1805" t="s">
        <v>2280</v>
      </c>
      <c r="L1805" t="s">
        <v>2281</v>
      </c>
    </row>
    <row hidden="1" r="1806" s="1" spans="1:12">
      <c r="A1806" s="4" t="n">
        <v>43163</v>
      </c>
      <c r="B1806" t="s">
        <v>304</v>
      </c>
      <c r="C1806" t="s">
        <v>305</v>
      </c>
      <c r="D1806" t="s">
        <v>14</v>
      </c>
      <c r="E1806" t="s">
        <v>15</v>
      </c>
      <c r="F1806" t="s">
        <v>16</v>
      </c>
      <c r="G1806" t="s">
        <v>304</v>
      </c>
      <c r="H1806">
        <f>HYPERLINK("https://www.jouwictvacature.nl/solliciteren?job=software-engineer-bij-ksyos", "Link")</f>
        <v/>
      </c>
      <c r="I1806" t="s">
        <v>17</v>
      </c>
      <c r="J1806" t="s">
        <v>18</v>
      </c>
      <c r="K1806" t="s">
        <v>306</v>
      </c>
      <c r="L1806" t="s">
        <v>2282</v>
      </c>
    </row>
    <row hidden="1" r="1807" s="1" spans="1:12">
      <c r="A1807" s="4" t="n">
        <v>43163</v>
      </c>
      <c r="B1807" t="s">
        <v>574</v>
      </c>
      <c r="C1807" t="s">
        <v>575</v>
      </c>
      <c r="D1807" t="s">
        <v>245</v>
      </c>
      <c r="E1807" t="s">
        <v>15</v>
      </c>
      <c r="F1807" t="s">
        <v>34</v>
      </c>
      <c r="G1807" t="s">
        <v>1884</v>
      </c>
      <c r="H1807">
        <f>HYPERLINK("https://www.jouwictvacature.nl/solliciteren?job=front-end-developer-breed-inzetbare-codeklopper-36-40uur", "Link")</f>
        <v/>
      </c>
      <c r="I1807" t="s">
        <v>17</v>
      </c>
      <c r="J1807" t="s">
        <v>18</v>
      </c>
      <c r="K1807" t="s">
        <v>1885</v>
      </c>
      <c r="L1807" t="s">
        <v>1886</v>
      </c>
    </row>
    <row hidden="1" r="1808" s="1" spans="1:12">
      <c r="A1808" s="4" t="n">
        <v>43163</v>
      </c>
      <c r="B1808" t="s">
        <v>142</v>
      </c>
      <c r="C1808" t="s">
        <v>143</v>
      </c>
      <c r="D1808" t="s">
        <v>22</v>
      </c>
      <c r="E1808" t="s">
        <v>15</v>
      </c>
      <c r="F1808" t="s">
        <v>28</v>
      </c>
      <c r="G1808" t="s">
        <v>321</v>
      </c>
      <c r="H1808">
        <f>HYPERLINK("https://www.jouwictvacature.nl/solliciteren?job=senior-javascript-developer-bij-coas", "Link")</f>
        <v/>
      </c>
      <c r="I1808" t="s">
        <v>17</v>
      </c>
      <c r="J1808" t="s">
        <v>18</v>
      </c>
      <c r="K1808" t="s">
        <v>145</v>
      </c>
      <c r="L1808" t="s">
        <v>1098</v>
      </c>
    </row>
    <row r="1809" spans="1:12">
      <c r="A1809" s="4" t="n">
        <v>43163</v>
      </c>
      <c r="B1809" t="s">
        <v>1109</v>
      </c>
      <c r="C1809" t="s">
        <v>80</v>
      </c>
      <c r="D1809" t="s">
        <v>22</v>
      </c>
      <c r="E1809" t="s">
        <v>51</v>
      </c>
      <c r="F1809" t="s">
        <v>16</v>
      </c>
      <c r="G1809" t="s">
        <v>1109</v>
      </c>
      <c r="H1809">
        <f>HYPERLINK("https://www.jouwictvacature.nl/solliciteren?job=medior-front-end-developer-bij-codezilla-bij-codezilla", "Link")</f>
        <v/>
      </c>
      <c r="I1809" t="s">
        <v>17</v>
      </c>
      <c r="J1809" t="s">
        <v>18</v>
      </c>
      <c r="K1809" t="s">
        <v>1110</v>
      </c>
      <c r="L1809" t="s">
        <v>2196</v>
      </c>
    </row>
    <row hidden="1" r="1810" s="1" spans="1:12">
      <c r="A1810" s="4" t="n">
        <v>43163</v>
      </c>
      <c r="B1810" t="s">
        <v>1866</v>
      </c>
      <c r="C1810" t="s">
        <v>76</v>
      </c>
      <c r="D1810" t="s">
        <v>14</v>
      </c>
      <c r="E1810" t="s">
        <v>15</v>
      </c>
      <c r="F1810" t="s">
        <v>52</v>
      </c>
      <c r="G1810" t="s">
        <v>2283</v>
      </c>
      <c r="H1810">
        <f>HYPERLINK("https://www.jouwictvacature.nl/solliciteren?job=mediorjavascript-developer-bij-kaartje2go", "Link")</f>
        <v/>
      </c>
      <c r="I1810" t="s">
        <v>17</v>
      </c>
      <c r="J1810" t="s">
        <v>18</v>
      </c>
      <c r="K1810" t="s">
        <v>1868</v>
      </c>
      <c r="L1810" t="s">
        <v>2284</v>
      </c>
    </row>
    <row hidden="1" r="1811" s="1" spans="1:12">
      <c r="A1811" s="4" t="n">
        <v>43163</v>
      </c>
      <c r="B1811" t="s">
        <v>823</v>
      </c>
      <c r="C1811" t="s">
        <v>806</v>
      </c>
      <c r="D1811" t="s">
        <v>22</v>
      </c>
      <c r="E1811" t="s">
        <v>15</v>
      </c>
      <c r="F1811" t="s">
        <v>16</v>
      </c>
      <c r="G1811" t="s">
        <v>823</v>
      </c>
      <c r="H1811">
        <f>HYPERLINK("https://www.jouwictvacature.nl/solliciteren?job=javascript-developer-bij-appmachine-", "Link")</f>
        <v/>
      </c>
      <c r="I1811" t="s">
        <v>17</v>
      </c>
      <c r="J1811" t="s">
        <v>18</v>
      </c>
      <c r="K1811" t="s">
        <v>824</v>
      </c>
      <c r="L1811" t="s">
        <v>825</v>
      </c>
    </row>
    <row hidden="1" r="1812" s="1" spans="1:12">
      <c r="A1812" s="4" t="n">
        <v>43163</v>
      </c>
      <c r="B1812" t="s">
        <v>1847</v>
      </c>
      <c r="C1812" t="s">
        <v>93</v>
      </c>
      <c r="D1812" t="s">
        <v>22</v>
      </c>
      <c r="E1812" t="s">
        <v>15</v>
      </c>
      <c r="F1812" t="s">
        <v>52</v>
      </c>
      <c r="G1812" t="s">
        <v>1853</v>
      </c>
      <c r="H1812">
        <f>HYPERLINK("https://www.jouwictvacature.nl/solliciteren?job=medior-creative-front-end-developer-bij-dotcontrol", "Link")</f>
        <v/>
      </c>
      <c r="I1812" t="s">
        <v>17</v>
      </c>
      <c r="J1812" t="s">
        <v>18</v>
      </c>
      <c r="K1812" t="s">
        <v>1849</v>
      </c>
      <c r="L1812" t="s">
        <v>1854</v>
      </c>
    </row>
    <row r="1813" spans="1:12">
      <c r="A1813" s="4" t="n">
        <v>43163</v>
      </c>
      <c r="B1813" t="s">
        <v>963</v>
      </c>
      <c r="C1813" t="s">
        <v>38</v>
      </c>
      <c r="D1813" t="s">
        <v>14</v>
      </c>
      <c r="E1813" t="s">
        <v>51</v>
      </c>
      <c r="F1813" t="s">
        <v>52</v>
      </c>
      <c r="G1813" t="s">
        <v>318</v>
      </c>
      <c r="H1813">
        <f>HYPERLINK("https://www.jouwictvacature.nl/solliciteren?job=medior-front-end-developer-bij-pyton-an-amadeus-company", "Link")</f>
        <v/>
      </c>
      <c r="I1813" t="s">
        <v>17</v>
      </c>
      <c r="J1813" t="s">
        <v>18</v>
      </c>
      <c r="K1813" t="s">
        <v>2155</v>
      </c>
      <c r="L1813" t="s">
        <v>2156</v>
      </c>
    </row>
    <row hidden="1" r="1814" s="1" spans="1:12">
      <c r="A1814" s="4" t="n">
        <v>43163</v>
      </c>
      <c r="B1814" t="s">
        <v>423</v>
      </c>
      <c r="C1814" t="s">
        <v>406</v>
      </c>
      <c r="D1814" t="s">
        <v>245</v>
      </c>
      <c r="E1814" t="s">
        <v>15</v>
      </c>
      <c r="F1814" t="s">
        <v>52</v>
      </c>
      <c r="G1814" t="s">
        <v>2050</v>
      </c>
      <c r="H1814">
        <f>HYPERLINK("https://www.jouwictvacature.nl/solliciteren?job=medior-uiux-designer--front-end", "Link")</f>
        <v/>
      </c>
      <c r="I1814" t="s">
        <v>17</v>
      </c>
      <c r="J1814" t="s">
        <v>18</v>
      </c>
      <c r="K1814" t="s">
        <v>1373</v>
      </c>
      <c r="L1814" t="s">
        <v>2051</v>
      </c>
    </row>
    <row hidden="1" r="1815" s="1" spans="1:12">
      <c r="A1815" s="4" t="n">
        <v>43163</v>
      </c>
      <c r="B1815" t="s">
        <v>174</v>
      </c>
      <c r="C1815" t="s">
        <v>93</v>
      </c>
      <c r="D1815" t="s">
        <v>22</v>
      </c>
      <c r="E1815" t="s">
        <v>15</v>
      </c>
      <c r="F1815" t="s">
        <v>52</v>
      </c>
      <c r="G1815" t="s">
        <v>687</v>
      </c>
      <c r="H1815">
        <f>HYPERLINK("https://www.jouwictvacature.nl/solliciteren?job=medior-java-developer--hibernate-jpa-spring-mvc-oracle-bij-dpa-geos-4", "Link")</f>
        <v/>
      </c>
      <c r="I1815" t="s">
        <v>17</v>
      </c>
      <c r="J1815" t="s">
        <v>18</v>
      </c>
      <c r="K1815" t="s">
        <v>179</v>
      </c>
      <c r="L1815" t="s">
        <v>984</v>
      </c>
    </row>
    <row hidden="1" r="1816" s="1" spans="1:12">
      <c r="A1816" s="4" t="n">
        <v>43163</v>
      </c>
      <c r="B1816" t="s">
        <v>174</v>
      </c>
      <c r="C1816" t="s">
        <v>80</v>
      </c>
      <c r="D1816" t="s">
        <v>22</v>
      </c>
      <c r="E1816" t="s">
        <v>15</v>
      </c>
      <c r="F1816" t="s">
        <v>52</v>
      </c>
      <c r="G1816" t="s">
        <v>2285</v>
      </c>
      <c r="H1816">
        <f>HYPERLINK("https://www.jouwictvacature.nl/solliciteren?job=medior-mobile-developer-bij-dpa-geos-bij-dpa-geos", "Link")</f>
        <v/>
      </c>
      <c r="I1816" t="s">
        <v>17</v>
      </c>
      <c r="J1816" t="s">
        <v>18</v>
      </c>
      <c r="K1816" t="s">
        <v>188</v>
      </c>
      <c r="L1816" t="s">
        <v>2286</v>
      </c>
    </row>
    <row hidden="1" r="1817" s="1" spans="1:12">
      <c r="A1817" s="4" t="n">
        <v>43163</v>
      </c>
      <c r="B1817" t="s">
        <v>2244</v>
      </c>
      <c r="C1817" t="s">
        <v>45</v>
      </c>
      <c r="D1817" t="s">
        <v>22</v>
      </c>
      <c r="E1817" t="s">
        <v>15</v>
      </c>
      <c r="F1817" t="s">
        <v>16</v>
      </c>
      <c r="G1817" t="s">
        <v>2245</v>
      </c>
      <c r="H1817">
        <f>HYPERLINK("https://www.jouwictvacature.nl/solliciteren?job=young-professional-java-developer", "Link")</f>
        <v/>
      </c>
      <c r="I1817" t="s">
        <v>17</v>
      </c>
      <c r="J1817" t="s">
        <v>18</v>
      </c>
      <c r="K1817" t="s">
        <v>2246</v>
      </c>
      <c r="L1817" t="s">
        <v>2247</v>
      </c>
    </row>
    <row hidden="1" r="1818" s="1" spans="1:12">
      <c r="A1818" s="4" t="n">
        <v>43163</v>
      </c>
      <c r="B1818" t="s">
        <v>174</v>
      </c>
      <c r="C1818" t="s">
        <v>62</v>
      </c>
      <c r="D1818" t="s">
        <v>22</v>
      </c>
      <c r="E1818" t="s">
        <v>15</v>
      </c>
      <c r="F1818" t="s">
        <v>52</v>
      </c>
      <c r="G1818" t="s">
        <v>178</v>
      </c>
      <c r="H1818">
        <f>HYPERLINK("https://www.jouwictvacature.nl/solliciteren?job=medior-java-backend-developer-bij-dpa-geos", "Link")</f>
        <v/>
      </c>
      <c r="I1818" t="s">
        <v>17</v>
      </c>
      <c r="J1818" t="s">
        <v>18</v>
      </c>
      <c r="K1818" t="s">
        <v>179</v>
      </c>
      <c r="L1818" t="s">
        <v>1437</v>
      </c>
    </row>
    <row hidden="1" r="1819" s="1" spans="1:12">
      <c r="A1819" s="4" t="n">
        <v>43163</v>
      </c>
      <c r="B1819" t="s">
        <v>1377</v>
      </c>
      <c r="C1819" t="s">
        <v>1378</v>
      </c>
      <c r="D1819" t="s">
        <v>22</v>
      </c>
      <c r="E1819" t="s">
        <v>15</v>
      </c>
      <c r="F1819" t="s">
        <v>52</v>
      </c>
      <c r="G1819" t="s">
        <v>2148</v>
      </c>
      <c r="H1819">
        <f>HYPERLINK("https://www.jouwictvacature.nl/solliciteren?job=medior-backend-developer-bij-gappless--java-go-rest-bij-gappless", "Link")</f>
        <v/>
      </c>
      <c r="I1819" t="s">
        <v>17</v>
      </c>
      <c r="J1819" t="s">
        <v>18</v>
      </c>
      <c r="K1819" t="s">
        <v>1810</v>
      </c>
      <c r="L1819" t="s">
        <v>2149</v>
      </c>
    </row>
    <row hidden="1" r="1820" s="1" spans="1:12">
      <c r="A1820" s="4" t="n">
        <v>43163</v>
      </c>
      <c r="B1820" t="s">
        <v>71</v>
      </c>
      <c r="C1820" t="s">
        <v>38</v>
      </c>
      <c r="D1820" t="s">
        <v>22</v>
      </c>
      <c r="E1820" t="s">
        <v>15</v>
      </c>
      <c r="F1820" t="s">
        <v>52</v>
      </c>
      <c r="G1820" t="s">
        <v>2287</v>
      </c>
      <c r="H1820">
        <f>HYPERLINK("https://www.jouwictvacature.nl/solliciteren?job=medior-feedback-engineer--exploratory-testing-context-driven-testing-b-3", "Link")</f>
        <v/>
      </c>
      <c r="I1820" t="s">
        <v>17</v>
      </c>
      <c r="J1820" t="s">
        <v>18</v>
      </c>
      <c r="K1820" t="s">
        <v>78</v>
      </c>
      <c r="L1820" t="s">
        <v>2288</v>
      </c>
    </row>
    <row hidden="1" r="1821" s="1" spans="1:12">
      <c r="A1821" s="4" t="n">
        <v>43163</v>
      </c>
      <c r="B1821" t="s">
        <v>44</v>
      </c>
      <c r="C1821" t="s">
        <v>45</v>
      </c>
      <c r="D1821" t="s">
        <v>22</v>
      </c>
      <c r="E1821" t="s">
        <v>15</v>
      </c>
      <c r="F1821" t="s">
        <v>52</v>
      </c>
      <c r="G1821" t="s">
        <v>2289</v>
      </c>
      <c r="H1821">
        <f>HYPERLINK("https://www.jouwictvacature.nl/solliciteren?job=medior-java-software-engineer-4", "Link")</f>
        <v/>
      </c>
      <c r="I1821" t="s">
        <v>17</v>
      </c>
      <c r="J1821" t="s">
        <v>18</v>
      </c>
      <c r="K1821" t="s">
        <v>47</v>
      </c>
      <c r="L1821" t="s">
        <v>2290</v>
      </c>
    </row>
    <row hidden="1" r="1822" s="1" spans="1:12">
      <c r="A1822" s="4" t="n">
        <v>43163</v>
      </c>
      <c r="B1822" t="s">
        <v>71</v>
      </c>
      <c r="C1822" t="s">
        <v>62</v>
      </c>
      <c r="D1822" t="s">
        <v>22</v>
      </c>
      <c r="E1822" t="s">
        <v>15</v>
      </c>
      <c r="F1822" t="s">
        <v>52</v>
      </c>
      <c r="G1822" t="s">
        <v>763</v>
      </c>
      <c r="H1822">
        <f>HYPERLINK("https://www.jouwictvacature.nl/solliciteren?job=medior-agile-test-specialist-bij-bartosz-bij-bartosz-utrecht", "Link")</f>
        <v/>
      </c>
      <c r="I1822" t="s">
        <v>17</v>
      </c>
      <c r="J1822" t="s">
        <v>18</v>
      </c>
      <c r="K1822" t="s">
        <v>91</v>
      </c>
      <c r="L1822" t="s">
        <v>2291</v>
      </c>
    </row>
    <row r="1823" spans="1:12">
      <c r="A1823" s="4" t="n">
        <v>43163</v>
      </c>
      <c r="B1823" t="s">
        <v>765</v>
      </c>
      <c r="C1823" t="s">
        <v>766</v>
      </c>
      <c r="D1823" t="s">
        <v>22</v>
      </c>
      <c r="E1823" t="s">
        <v>51</v>
      </c>
      <c r="F1823" t="s">
        <v>16</v>
      </c>
      <c r="G1823" t="s">
        <v>765</v>
      </c>
      <c r="H1823">
        <f>HYPERLINK("https://www.jouwictvacature.nl/solliciteren?job=software-engineer-java-javascript-2", "Link")</f>
        <v/>
      </c>
      <c r="I1823" t="s">
        <v>17</v>
      </c>
      <c r="J1823" t="s">
        <v>18</v>
      </c>
      <c r="K1823" t="s">
        <v>767</v>
      </c>
      <c r="L1823" t="s">
        <v>768</v>
      </c>
    </row>
    <row r="1824" spans="1:12">
      <c r="A1824" s="4" t="n">
        <v>43163</v>
      </c>
      <c r="B1824" t="s">
        <v>1399</v>
      </c>
      <c r="C1824" t="s">
        <v>309</v>
      </c>
      <c r="D1824" t="s">
        <v>22</v>
      </c>
      <c r="E1824" t="s">
        <v>51</v>
      </c>
      <c r="F1824" t="s">
        <v>34</v>
      </c>
      <c r="G1824" t="s">
        <v>2292</v>
      </c>
      <c r="H1824">
        <f>HYPERLINK("https://www.jouwictvacature.nl/solliciteren?job=junior-software-developer-at-msg-life-benelux-bij-msg-life-benelux", "Link")</f>
        <v/>
      </c>
      <c r="I1824" t="s">
        <v>17</v>
      </c>
      <c r="J1824" t="s">
        <v>18</v>
      </c>
      <c r="K1824" t="s">
        <v>1780</v>
      </c>
      <c r="L1824" t="s">
        <v>2293</v>
      </c>
    </row>
    <row hidden="1" r="1825" s="1" spans="1:12">
      <c r="A1825" s="4" t="n">
        <v>43163</v>
      </c>
      <c r="B1825" t="s">
        <v>2294</v>
      </c>
      <c r="C1825" t="s">
        <v>219</v>
      </c>
      <c r="D1825" t="s">
        <v>22</v>
      </c>
      <c r="E1825" t="s">
        <v>15</v>
      </c>
      <c r="F1825" t="s">
        <v>34</v>
      </c>
      <c r="G1825" t="s">
        <v>2295</v>
      </c>
      <c r="H1825">
        <f>HYPERLINK("https://www.jouwictvacature.nl/solliciteren?job=junior-c-net-developer-bij-de-solipsisgroep-te-schiphol-rijk", "Link")</f>
        <v/>
      </c>
      <c r="I1825" t="s">
        <v>17</v>
      </c>
      <c r="J1825" t="s">
        <v>18</v>
      </c>
      <c r="K1825" t="s">
        <v>2296</v>
      </c>
      <c r="L1825" t="s">
        <v>2297</v>
      </c>
    </row>
    <row hidden="1" r="1826" s="1" spans="1:12">
      <c r="A1826" s="4" t="n">
        <v>43163</v>
      </c>
      <c r="B1826" t="s">
        <v>693</v>
      </c>
      <c r="C1826" t="s">
        <v>694</v>
      </c>
      <c r="D1826" t="s">
        <v>22</v>
      </c>
      <c r="E1826" t="s">
        <v>15</v>
      </c>
      <c r="F1826" t="s">
        <v>16</v>
      </c>
      <c r="G1826" t="s">
        <v>693</v>
      </c>
      <c r="H1826">
        <f>HYPERLINK("https://www.jouwictvacature.nl/solliciteren?job=senior-mendix-developer", "Link")</f>
        <v/>
      </c>
      <c r="I1826" t="s">
        <v>17</v>
      </c>
      <c r="J1826" t="s">
        <v>18</v>
      </c>
      <c r="K1826" t="s">
        <v>1339</v>
      </c>
      <c r="L1826" t="s">
        <v>1340</v>
      </c>
    </row>
    <row hidden="1" r="1827" s="1" spans="1:12">
      <c r="A1827" s="4" t="n">
        <v>43163</v>
      </c>
      <c r="B1827" t="s">
        <v>2000</v>
      </c>
      <c r="C1827" t="s">
        <v>45</v>
      </c>
      <c r="D1827" t="s">
        <v>245</v>
      </c>
      <c r="E1827" t="s">
        <v>15</v>
      </c>
      <c r="F1827" t="s">
        <v>16</v>
      </c>
      <c r="G1827" t="s">
        <v>934</v>
      </c>
      <c r="H1827">
        <f>HYPERLINK("https://www.jouwictvacature.nl/solliciteren?job=young-professional-microsoft-net-bij-sogeti-6", "Link")</f>
        <v/>
      </c>
      <c r="I1827" t="s">
        <v>17</v>
      </c>
      <c r="J1827" t="s">
        <v>18</v>
      </c>
      <c r="K1827" t="s">
        <v>935</v>
      </c>
      <c r="L1827" t="s">
        <v>936</v>
      </c>
    </row>
    <row hidden="1" r="1828" s="1" spans="1:12">
      <c r="A1828" s="4" t="n">
        <v>43163</v>
      </c>
      <c r="B1828" t="s">
        <v>1235</v>
      </c>
      <c r="C1828" t="s">
        <v>1236</v>
      </c>
      <c r="D1828" t="s">
        <v>245</v>
      </c>
      <c r="E1828" t="s">
        <v>15</v>
      </c>
      <c r="F1828" t="s">
        <v>16</v>
      </c>
      <c r="G1828" t="s">
        <v>1293</v>
      </c>
      <c r="H1828">
        <f>HYPERLINK("https://www.jouwictvacature.nl/solliciteren?job=net-developer-4", "Link")</f>
        <v/>
      </c>
      <c r="I1828" t="s">
        <v>17</v>
      </c>
      <c r="J1828" t="s">
        <v>18</v>
      </c>
      <c r="K1828" t="s">
        <v>1238</v>
      </c>
      <c r="L1828" t="s">
        <v>1294</v>
      </c>
    </row>
    <row hidden="1" r="1829" s="1" spans="1:12">
      <c r="A1829" s="4" t="n">
        <v>43163</v>
      </c>
      <c r="B1829" t="s">
        <v>2000</v>
      </c>
      <c r="C1829" t="s">
        <v>456</v>
      </c>
      <c r="D1829" t="s">
        <v>245</v>
      </c>
      <c r="E1829" t="s">
        <v>15</v>
      </c>
      <c r="F1829" t="s">
        <v>52</v>
      </c>
      <c r="G1829" t="s">
        <v>852</v>
      </c>
      <c r="H1829">
        <f>HYPERLINK("https://www.jouwictvacature.nl/solliciteren?job=microsoft-sharepoint-specialist-bij-sogeti-2", "Link")</f>
        <v/>
      </c>
      <c r="I1829" t="s">
        <v>17</v>
      </c>
      <c r="J1829" t="s">
        <v>18</v>
      </c>
      <c r="K1829" t="s">
        <v>458</v>
      </c>
      <c r="L1829" t="s">
        <v>853</v>
      </c>
    </row>
    <row hidden="1" r="1830" s="1" spans="1:12">
      <c r="A1830" s="4" t="n">
        <v>43163</v>
      </c>
      <c r="B1830" t="s">
        <v>251</v>
      </c>
      <c r="C1830" t="s">
        <v>80</v>
      </c>
      <c r="D1830" t="s">
        <v>14</v>
      </c>
      <c r="E1830" t="s">
        <v>15</v>
      </c>
      <c r="F1830" t="s">
        <v>16</v>
      </c>
      <c r="G1830" t="s">
        <v>2298</v>
      </c>
      <c r="H1830">
        <f>HYPERLINK("https://www.jouwictvacature.nl/solliciteren?job=technical-lead-net-bij-icatt--inhouse--mogelijkheid-tot-parttime--ople", "Link")</f>
        <v/>
      </c>
      <c r="I1830" t="s">
        <v>17</v>
      </c>
      <c r="J1830" t="s">
        <v>18</v>
      </c>
      <c r="K1830" t="s">
        <v>624</v>
      </c>
      <c r="L1830" t="s">
        <v>1133</v>
      </c>
    </row>
    <row hidden="1" r="1831" s="1" spans="1:12">
      <c r="A1831" s="4" t="n">
        <v>43163</v>
      </c>
      <c r="B1831" t="s">
        <v>618</v>
      </c>
      <c r="C1831" t="s">
        <v>619</v>
      </c>
      <c r="D1831" t="s">
        <v>22</v>
      </c>
      <c r="E1831" t="s">
        <v>15</v>
      </c>
      <c r="F1831" t="s">
        <v>16</v>
      </c>
      <c r="G1831" t="s">
        <v>1875</v>
      </c>
      <c r="H1831">
        <f>HYPERLINK("https://www.jouwictvacature.nl/solliciteren?job=ambitieuze-developer-net-applicaties-voor-mooie-klanten-als-de-eftelin-2", "Link")</f>
        <v/>
      </c>
      <c r="I1831" t="s">
        <v>17</v>
      </c>
      <c r="J1831" t="s">
        <v>18</v>
      </c>
      <c r="K1831" t="s">
        <v>621</v>
      </c>
      <c r="L1831" t="s">
        <v>1876</v>
      </c>
    </row>
    <row hidden="1" r="1832" s="1" spans="1:12">
      <c r="A1832" s="4" t="n">
        <v>43163</v>
      </c>
      <c r="B1832" t="s">
        <v>2089</v>
      </c>
      <c r="C1832" t="s">
        <v>309</v>
      </c>
      <c r="D1832" t="s">
        <v>14</v>
      </c>
      <c r="E1832" t="s">
        <v>15</v>
      </c>
      <c r="F1832" t="s">
        <v>28</v>
      </c>
      <c r="G1832" t="s">
        <v>2299</v>
      </c>
      <c r="H1832">
        <f>HYPERLINK("https://www.jouwictvacature.nl/solliciteren?job=senior-net-developer-bij-minescape-met-affiniteit-voor-cms", "Link")</f>
        <v/>
      </c>
      <c r="I1832" t="s">
        <v>17</v>
      </c>
      <c r="J1832" t="s">
        <v>18</v>
      </c>
      <c r="K1832" t="s">
        <v>2091</v>
      </c>
      <c r="L1832" t="s">
        <v>2300</v>
      </c>
    </row>
    <row hidden="1" r="1833" s="1" spans="1:12">
      <c r="A1833" s="4" t="n">
        <v>43163</v>
      </c>
      <c r="B1833" t="s">
        <v>251</v>
      </c>
      <c r="C1833" t="s">
        <v>80</v>
      </c>
      <c r="D1833" t="s">
        <v>14</v>
      </c>
      <c r="E1833" t="s">
        <v>15</v>
      </c>
      <c r="F1833" t="s">
        <v>16</v>
      </c>
      <c r="G1833" t="s">
        <v>2301</v>
      </c>
      <c r="H1833">
        <f>HYPERLINK("https://www.jouwictvacature.nl/solliciteren?job=zeer-ervaren-net-ontwikkelaar-bij-icatt-inhouse-in-hartje-amsterdam", "Link")</f>
        <v/>
      </c>
      <c r="I1833" t="s">
        <v>17</v>
      </c>
      <c r="J1833" t="s">
        <v>18</v>
      </c>
      <c r="K1833" t="s">
        <v>253</v>
      </c>
      <c r="L1833" t="s">
        <v>254</v>
      </c>
    </row>
    <row hidden="1" r="1834" s="1" spans="1:12">
      <c r="A1834" s="4" t="n">
        <v>43163</v>
      </c>
      <c r="B1834" t="s">
        <v>2089</v>
      </c>
      <c r="C1834" t="s">
        <v>309</v>
      </c>
      <c r="D1834" t="s">
        <v>14</v>
      </c>
      <c r="E1834" t="s">
        <v>15</v>
      </c>
      <c r="F1834" t="s">
        <v>16</v>
      </c>
      <c r="G1834" t="s">
        <v>2302</v>
      </c>
      <c r="H1834">
        <f>HYPERLINK("https://www.jouwictvacature.nl/solliciteren?job=net-software-developer-software-engineer", "Link")</f>
        <v/>
      </c>
      <c r="I1834" t="s">
        <v>17</v>
      </c>
      <c r="J1834" t="s">
        <v>18</v>
      </c>
      <c r="K1834" t="s">
        <v>2091</v>
      </c>
      <c r="L1834" t="s">
        <v>2303</v>
      </c>
    </row>
    <row hidden="1" r="1835" s="1" spans="1:12">
      <c r="A1835" s="4" t="n">
        <v>43163</v>
      </c>
      <c r="B1835" t="s">
        <v>1360</v>
      </c>
      <c r="C1835" t="s">
        <v>1361</v>
      </c>
      <c r="D1835" t="s">
        <v>22</v>
      </c>
      <c r="E1835" t="s">
        <v>15</v>
      </c>
      <c r="F1835" t="s">
        <v>34</v>
      </c>
      <c r="G1835" t="s">
        <v>1362</v>
      </c>
      <c r="H1835">
        <f>HYPERLINK("https://www.jouwictvacature.nl/solliciteren?job=back-end-developer-bij-deepdata", "Link")</f>
        <v/>
      </c>
      <c r="I1835" t="s">
        <v>17</v>
      </c>
      <c r="J1835" t="s">
        <v>18</v>
      </c>
      <c r="K1835" t="s">
        <v>1363</v>
      </c>
      <c r="L1835" t="s">
        <v>1364</v>
      </c>
    </row>
    <row hidden="1" r="1836" s="1" spans="1:12">
      <c r="A1836" s="4" t="n">
        <v>43163</v>
      </c>
      <c r="B1836" t="s">
        <v>568</v>
      </c>
      <c r="C1836" t="s">
        <v>157</v>
      </c>
      <c r="D1836" t="s">
        <v>245</v>
      </c>
      <c r="E1836" t="s">
        <v>15</v>
      </c>
      <c r="F1836" t="s">
        <v>16</v>
      </c>
      <c r="G1836" t="s">
        <v>949</v>
      </c>
      <c r="H1836">
        <f>HYPERLINK("https://www.jouwictvacature.nl/solliciteren?job=ervaren-medior-wordpress-developer-gezocht-bij-web-whales", "Link")</f>
        <v/>
      </c>
      <c r="I1836" t="s">
        <v>17</v>
      </c>
      <c r="J1836" t="s">
        <v>18</v>
      </c>
      <c r="K1836" t="s">
        <v>570</v>
      </c>
      <c r="L1836" t="s">
        <v>950</v>
      </c>
    </row>
    <row hidden="1" r="1837" s="1" spans="1:12">
      <c r="A1837" s="4" t="n">
        <v>43163</v>
      </c>
      <c r="B1837" t="s">
        <v>2016</v>
      </c>
      <c r="C1837" t="s">
        <v>2017</v>
      </c>
      <c r="D1837" t="s">
        <v>22</v>
      </c>
      <c r="E1837" t="s">
        <v>15</v>
      </c>
      <c r="F1837" t="s">
        <v>16</v>
      </c>
      <c r="G1837" t="s">
        <v>2016</v>
      </c>
      <c r="H1837">
        <f>HYPERLINK("https://www.jouwictvacature.nl/solliciteren?job=nodejs-developer-met-php-ervaring-", "Link")</f>
        <v/>
      </c>
      <c r="I1837" t="s">
        <v>17</v>
      </c>
      <c r="J1837" t="s">
        <v>18</v>
      </c>
      <c r="K1837" t="s">
        <v>2163</v>
      </c>
      <c r="L1837" t="s">
        <v>2164</v>
      </c>
    </row>
    <row hidden="1" r="1838" s="1" spans="1:12">
      <c r="A1838" s="4" t="n">
        <v>43163</v>
      </c>
      <c r="B1838" t="s">
        <v>885</v>
      </c>
      <c r="C1838" t="s">
        <v>76</v>
      </c>
      <c r="D1838" t="s">
        <v>14</v>
      </c>
      <c r="E1838" t="s">
        <v>15</v>
      </c>
      <c r="F1838" t="s">
        <v>16</v>
      </c>
      <c r="G1838" t="s">
        <v>886</v>
      </c>
      <c r="H1838">
        <f>HYPERLINK("https://www.jouwictvacature.nl/solliciteren?job=gedreven-medior-backend-developer-2", "Link")</f>
        <v/>
      </c>
      <c r="I1838" t="s">
        <v>17</v>
      </c>
      <c r="J1838" t="s">
        <v>18</v>
      </c>
      <c r="K1838" t="s">
        <v>887</v>
      </c>
      <c r="L1838" t="s">
        <v>888</v>
      </c>
    </row>
    <row hidden="1" r="1839" s="1" spans="1:12">
      <c r="A1839" s="4" t="n">
        <v>43163</v>
      </c>
      <c r="B1839" t="s">
        <v>493</v>
      </c>
      <c r="C1839" t="s">
        <v>72</v>
      </c>
      <c r="D1839" t="s">
        <v>245</v>
      </c>
      <c r="E1839" t="s">
        <v>15</v>
      </c>
      <c r="F1839" t="s">
        <v>28</v>
      </c>
      <c r="G1839" t="s">
        <v>734</v>
      </c>
      <c r="H1839">
        <f>HYPERLINK("https://www.jouwictvacature.nl/solliciteren?job=senior-full-stack-developer-bij-sumedia", "Link")</f>
        <v/>
      </c>
      <c r="I1839" t="s">
        <v>17</v>
      </c>
      <c r="J1839" t="s">
        <v>18</v>
      </c>
      <c r="K1839" t="s">
        <v>495</v>
      </c>
      <c r="L1839" t="s">
        <v>735</v>
      </c>
    </row>
    <row hidden="1" r="1840" s="1" spans="1:12">
      <c r="A1840" s="4" t="n">
        <v>43163</v>
      </c>
      <c r="B1840" t="s">
        <v>26</v>
      </c>
      <c r="C1840" t="s">
        <v>27</v>
      </c>
      <c r="D1840" t="s">
        <v>22</v>
      </c>
      <c r="E1840" t="s">
        <v>15</v>
      </c>
      <c r="F1840" t="s">
        <v>28</v>
      </c>
      <c r="G1840" t="s">
        <v>29</v>
      </c>
      <c r="H1840">
        <f>HYPERLINK("https://www.jouwictvacature.nl/solliciteren?job=senior-laravel-developer-bij-aan-zee-communicatie", "Link")</f>
        <v/>
      </c>
      <c r="I1840" t="s">
        <v>17</v>
      </c>
      <c r="J1840" t="s">
        <v>18</v>
      </c>
      <c r="K1840" t="s">
        <v>30</v>
      </c>
      <c r="L1840" t="s">
        <v>31</v>
      </c>
    </row>
    <row hidden="1" r="1841" s="1" spans="1:12">
      <c r="A1841" s="4" t="n">
        <v>43163</v>
      </c>
      <c r="B1841" t="s">
        <v>585</v>
      </c>
      <c r="C1841" t="s">
        <v>586</v>
      </c>
      <c r="D1841" t="s">
        <v>245</v>
      </c>
      <c r="E1841" t="s">
        <v>15</v>
      </c>
      <c r="F1841" t="s">
        <v>16</v>
      </c>
      <c r="G1841" t="s">
        <v>2260</v>
      </c>
      <c r="H1841">
        <f>HYPERLINK("https://www.jouwictvacature.nl/solliciteren?job=allround-php-developer-medior-", "Link")</f>
        <v/>
      </c>
      <c r="I1841" t="s">
        <v>17</v>
      </c>
      <c r="J1841" t="s">
        <v>18</v>
      </c>
      <c r="K1841" t="s">
        <v>1751</v>
      </c>
      <c r="L1841" t="s">
        <v>2261</v>
      </c>
    </row>
    <row hidden="1" r="1842" s="1" spans="1:12">
      <c r="A1842" s="4" t="n">
        <v>43163</v>
      </c>
      <c r="B1842" t="s">
        <v>446</v>
      </c>
      <c r="C1842" t="s">
        <v>447</v>
      </c>
      <c r="D1842" t="s">
        <v>245</v>
      </c>
      <c r="E1842" t="s">
        <v>15</v>
      </c>
      <c r="F1842" t="s">
        <v>16</v>
      </c>
      <c r="G1842" t="s">
        <v>446</v>
      </c>
      <c r="H1842">
        <f>HYPERLINK("https://www.jouwictvacature.nl/solliciteren?job=senior-back-end-developer-2", "Link")</f>
        <v/>
      </c>
      <c r="I1842" t="s">
        <v>17</v>
      </c>
      <c r="J1842" t="s">
        <v>18</v>
      </c>
      <c r="K1842" t="s">
        <v>448</v>
      </c>
      <c r="L1842" t="s">
        <v>449</v>
      </c>
    </row>
    <row hidden="1" r="1843" s="1" spans="1:12">
      <c r="A1843" s="4" t="n">
        <v>43163</v>
      </c>
      <c r="B1843" t="s">
        <v>813</v>
      </c>
      <c r="C1843" t="s">
        <v>309</v>
      </c>
      <c r="D1843" t="s">
        <v>245</v>
      </c>
      <c r="E1843" t="s">
        <v>15</v>
      </c>
      <c r="F1843" t="s">
        <v>28</v>
      </c>
      <c r="G1843" t="s">
        <v>814</v>
      </c>
      <c r="H1843">
        <f>HYPERLINK("https://www.jouwictvacature.nl/solliciteren?job=senior-full-stack-ontwikkelaar-bij-telserv-bij-telserv", "Link")</f>
        <v/>
      </c>
      <c r="I1843" t="s">
        <v>17</v>
      </c>
      <c r="J1843" t="s">
        <v>18</v>
      </c>
      <c r="K1843" t="s">
        <v>815</v>
      </c>
      <c r="L1843" t="s">
        <v>816</v>
      </c>
    </row>
    <row hidden="1" r="1844" s="1" spans="1:12">
      <c r="A1844" s="4" t="n">
        <v>43163</v>
      </c>
      <c r="B1844" t="s">
        <v>2004</v>
      </c>
      <c r="C1844" t="s">
        <v>1670</v>
      </c>
      <c r="D1844" t="s">
        <v>245</v>
      </c>
      <c r="E1844" t="s">
        <v>15</v>
      </c>
      <c r="F1844" t="s">
        <v>28</v>
      </c>
      <c r="G1844" t="s">
        <v>2184</v>
      </c>
      <c r="H1844">
        <f>HYPERLINK("https://www.jouwictvacature.nl/solliciteren?job=senior-fullstack-developer-bij-the-people-group", "Link")</f>
        <v/>
      </c>
      <c r="I1844" t="s">
        <v>17</v>
      </c>
      <c r="J1844" t="s">
        <v>18</v>
      </c>
      <c r="K1844" t="s">
        <v>2005</v>
      </c>
      <c r="L1844" t="s">
        <v>2185</v>
      </c>
    </row>
    <row hidden="1" r="1845" s="1" spans="1:12">
      <c r="A1845" s="4" t="n">
        <v>43163</v>
      </c>
      <c r="B1845" t="s">
        <v>2004</v>
      </c>
      <c r="C1845" t="s">
        <v>1670</v>
      </c>
      <c r="D1845" t="s">
        <v>245</v>
      </c>
      <c r="E1845" t="s">
        <v>15</v>
      </c>
      <c r="F1845" t="s">
        <v>52</v>
      </c>
      <c r="G1845" t="s">
        <v>1125</v>
      </c>
      <c r="H1845">
        <f>HYPERLINK("https://www.jouwictvacature.nl/solliciteren?job=medior-javascript-developer-bij-the-people-group", "Link")</f>
        <v/>
      </c>
      <c r="I1845" t="s">
        <v>17</v>
      </c>
      <c r="J1845" t="s">
        <v>18</v>
      </c>
      <c r="K1845" t="s">
        <v>2005</v>
      </c>
      <c r="L1845" t="s">
        <v>2199</v>
      </c>
    </row>
    <row hidden="1" r="1846" s="1" spans="1:12">
      <c r="A1846" s="4" t="n">
        <v>43163</v>
      </c>
      <c r="B1846" t="s">
        <v>753</v>
      </c>
      <c r="C1846" t="s">
        <v>309</v>
      </c>
      <c r="D1846" t="s">
        <v>22</v>
      </c>
      <c r="E1846" t="s">
        <v>15</v>
      </c>
      <c r="F1846" t="s">
        <v>16</v>
      </c>
      <c r="G1846" t="s">
        <v>753</v>
      </c>
      <c r="H1846">
        <f>HYPERLINK("https://www.jouwictvacature.nl/solliciteren?job=front-end-developer-bij-creabea", "Link")</f>
        <v/>
      </c>
      <c r="I1846" t="s">
        <v>17</v>
      </c>
      <c r="J1846" t="s">
        <v>18</v>
      </c>
      <c r="K1846" t="s">
        <v>2304</v>
      </c>
      <c r="L1846" t="s">
        <v>2305</v>
      </c>
    </row>
    <row r="1847" spans="1:12">
      <c r="A1847" s="4" t="n">
        <v>43163</v>
      </c>
      <c r="B1847" t="s">
        <v>1033</v>
      </c>
      <c r="C1847" t="s">
        <v>62</v>
      </c>
      <c r="D1847" t="s">
        <v>245</v>
      </c>
      <c r="E1847" t="s">
        <v>51</v>
      </c>
      <c r="F1847" t="s">
        <v>16</v>
      </c>
      <c r="G1847" t="s">
        <v>1033</v>
      </c>
      <c r="H1847">
        <f>HYPERLINK("https://www.jouwictvacature.nl/solliciteren?job=front-end-developer-bij-stackstate", "Link")</f>
        <v/>
      </c>
      <c r="I1847" t="s">
        <v>17</v>
      </c>
      <c r="J1847" t="s">
        <v>18</v>
      </c>
      <c r="K1847" t="s">
        <v>1034</v>
      </c>
      <c r="L1847" t="s">
        <v>2306</v>
      </c>
    </row>
    <row hidden="1" r="1848" s="1" spans="1:12">
      <c r="A1848" s="4" t="n">
        <v>43163</v>
      </c>
      <c r="B1848" t="s">
        <v>2004</v>
      </c>
      <c r="C1848" t="s">
        <v>1670</v>
      </c>
      <c r="D1848" t="s">
        <v>245</v>
      </c>
      <c r="E1848" t="s">
        <v>15</v>
      </c>
      <c r="F1848" t="s">
        <v>34</v>
      </c>
      <c r="G1848" t="s">
        <v>2171</v>
      </c>
      <c r="H1848">
        <f>HYPERLINK("https://www.jouwictvacature.nl/solliciteren?job=junior-javascript-developer-bij-the-people-group", "Link")</f>
        <v/>
      </c>
      <c r="I1848" t="s">
        <v>17</v>
      </c>
      <c r="J1848" t="s">
        <v>18</v>
      </c>
      <c r="K1848" t="s">
        <v>2005</v>
      </c>
      <c r="L1848" t="s">
        <v>2307</v>
      </c>
    </row>
    <row hidden="1" r="1849" s="1" spans="1:12">
      <c r="A1849" s="4" t="n">
        <v>43163</v>
      </c>
      <c r="B1849" t="s">
        <v>546</v>
      </c>
      <c r="C1849" t="s">
        <v>547</v>
      </c>
      <c r="D1849" t="s">
        <v>245</v>
      </c>
      <c r="E1849" t="s">
        <v>15</v>
      </c>
      <c r="F1849" t="s">
        <v>52</v>
      </c>
      <c r="G1849" t="s">
        <v>665</v>
      </c>
      <c r="H1849">
        <f>HYPERLINK("https://www.jouwictvacature.nl/solliciteren?job=medior-front-end-developer-bij-u-lab", "Link")</f>
        <v/>
      </c>
      <c r="I1849" t="s">
        <v>17</v>
      </c>
      <c r="J1849" t="s">
        <v>18</v>
      </c>
      <c r="K1849" t="s">
        <v>549</v>
      </c>
      <c r="L1849" t="s">
        <v>1712</v>
      </c>
    </row>
    <row hidden="1" r="1850" s="1" spans="1:12">
      <c r="A1850" s="4" t="n">
        <v>43163</v>
      </c>
      <c r="B1850" t="s">
        <v>958</v>
      </c>
      <c r="C1850" t="s">
        <v>959</v>
      </c>
      <c r="D1850" t="s">
        <v>245</v>
      </c>
      <c r="E1850" t="s">
        <v>15</v>
      </c>
      <c r="F1850" t="s">
        <v>16</v>
      </c>
      <c r="G1850" t="s">
        <v>958</v>
      </c>
      <c r="H1850">
        <f>HYPERLINK("https://www.jouwictvacature.nl/solliciteren?job=medior-front-end-developer-bij-codarts-hogeschool-voor-de-kunsten-bij-", "Link")</f>
        <v/>
      </c>
      <c r="I1850" t="s">
        <v>17</v>
      </c>
      <c r="J1850" t="s">
        <v>18</v>
      </c>
      <c r="K1850" t="s">
        <v>960</v>
      </c>
      <c r="L1850" t="s">
        <v>961</v>
      </c>
    </row>
    <row hidden="1" r="1851" s="1" spans="1:12">
      <c r="A1851" s="4" t="n">
        <v>43163</v>
      </c>
      <c r="B1851" t="s">
        <v>304</v>
      </c>
      <c r="C1851" t="s">
        <v>305</v>
      </c>
      <c r="D1851" t="s">
        <v>14</v>
      </c>
      <c r="E1851" t="s">
        <v>15</v>
      </c>
      <c r="F1851" t="s">
        <v>16</v>
      </c>
      <c r="G1851" t="s">
        <v>304</v>
      </c>
      <c r="H1851">
        <f>HYPERLINK("https://www.jouwictvacature.nl/solliciteren?job=senior-software-engineer-bij-ksyos", "Link")</f>
        <v/>
      </c>
      <c r="I1851" t="s">
        <v>17</v>
      </c>
      <c r="J1851" t="s">
        <v>18</v>
      </c>
      <c r="K1851" t="s">
        <v>306</v>
      </c>
      <c r="L1851" t="s">
        <v>2308</v>
      </c>
    </row>
    <row hidden="1" r="1852" s="1" spans="1:12">
      <c r="A1852" s="4" t="n">
        <v>43163</v>
      </c>
      <c r="B1852" t="s">
        <v>574</v>
      </c>
      <c r="C1852" t="s">
        <v>575</v>
      </c>
      <c r="D1852" t="s">
        <v>245</v>
      </c>
      <c r="E1852" t="s">
        <v>15</v>
      </c>
      <c r="F1852" t="s">
        <v>28</v>
      </c>
      <c r="G1852" t="s">
        <v>581</v>
      </c>
      <c r="H1852">
        <f>HYPERLINK("https://www.jouwictvacature.nl/solliciteren?job=senior-ios-developer-bij-webbeat", "Link")</f>
        <v/>
      </c>
      <c r="I1852" t="s">
        <v>17</v>
      </c>
      <c r="J1852" t="s">
        <v>18</v>
      </c>
      <c r="K1852" t="s">
        <v>577</v>
      </c>
      <c r="L1852" t="s">
        <v>582</v>
      </c>
    </row>
    <row r="1853" spans="1:12">
      <c r="A1853" s="4" t="n">
        <v>43163</v>
      </c>
      <c r="B1853" t="s">
        <v>2192</v>
      </c>
      <c r="C1853" t="s">
        <v>93</v>
      </c>
      <c r="D1853" t="s">
        <v>22</v>
      </c>
      <c r="E1853" t="s">
        <v>51</v>
      </c>
      <c r="F1853" t="s">
        <v>28</v>
      </c>
      <c r="G1853" t="s">
        <v>2309</v>
      </c>
      <c r="H1853">
        <f>HYPERLINK("https://www.jouwictvacature.nl/solliciteren?job=senior-fullstack-developer-bij-hello-print", "Link")</f>
        <v/>
      </c>
      <c r="I1853" t="s">
        <v>17</v>
      </c>
      <c r="J1853" t="s">
        <v>18</v>
      </c>
      <c r="K1853" t="s">
        <v>2194</v>
      </c>
      <c r="L1853" t="s">
        <v>2310</v>
      </c>
    </row>
    <row hidden="1" r="1854" s="1" spans="1:12">
      <c r="A1854" s="4" t="n">
        <v>43163</v>
      </c>
      <c r="B1854" t="s">
        <v>123</v>
      </c>
      <c r="C1854" t="s">
        <v>124</v>
      </c>
      <c r="D1854" t="s">
        <v>22</v>
      </c>
      <c r="E1854" t="s">
        <v>15</v>
      </c>
      <c r="F1854" t="s">
        <v>34</v>
      </c>
      <c r="G1854" t="s">
        <v>1626</v>
      </c>
      <c r="H1854">
        <f>HYPERLINK("https://www.jouwictvacature.nl/solliciteren?job=junior-front-end-developer-bij-bratpack", "Link")</f>
        <v/>
      </c>
      <c r="I1854" t="s">
        <v>17</v>
      </c>
      <c r="J1854" t="s">
        <v>18</v>
      </c>
      <c r="K1854" t="s">
        <v>125</v>
      </c>
      <c r="L1854" t="s">
        <v>1627</v>
      </c>
    </row>
    <row r="1855" spans="1:12">
      <c r="A1855" s="5" t="n">
        <v>43163</v>
      </c>
      <c r="B1855" t="s">
        <v>1099</v>
      </c>
      <c r="C1855" t="s">
        <v>1100</v>
      </c>
      <c r="D1855" t="s">
        <v>22</v>
      </c>
      <c r="E1855" t="s">
        <v>15</v>
      </c>
      <c r="F1855" t="s">
        <v>34</v>
      </c>
      <c r="G1855" t="s">
        <v>1577</v>
      </c>
      <c r="H1855">
        <f>HYPERLINK("https://www.jouwictvacature.nl/solliciteren?job=junior-java-software-developer--java-html-css-javascript-mobile-eclips", "Link")</f>
        <v/>
      </c>
      <c r="I1855" t="s">
        <v>17</v>
      </c>
      <c r="J1855" t="s">
        <v>18</v>
      </c>
      <c r="K1855" t="s">
        <v>1102</v>
      </c>
      <c r="L1855" t="s">
        <v>1578</v>
      </c>
    </row>
    <row r="1856" spans="1:12">
      <c r="A1856" s="5" t="n">
        <v>43163</v>
      </c>
      <c r="B1856" t="s">
        <v>71</v>
      </c>
      <c r="C1856" t="s">
        <v>72</v>
      </c>
      <c r="D1856" t="s">
        <v>22</v>
      </c>
      <c r="E1856" t="s">
        <v>15</v>
      </c>
      <c r="F1856" t="s">
        <v>28</v>
      </c>
      <c r="G1856" t="s">
        <v>1215</v>
      </c>
      <c r="H1856">
        <f>HYPERLINK("https://www.jouwictvacature.nl/solliciteren?job=senior-testanalist-bij-bartosz-bij-bartosz-arnhem", "Link")</f>
        <v/>
      </c>
      <c r="I1856" t="s">
        <v>17</v>
      </c>
      <c r="J1856" t="s">
        <v>18</v>
      </c>
      <c r="K1856" t="s">
        <v>95</v>
      </c>
      <c r="L1856" t="s">
        <v>2250</v>
      </c>
    </row>
    <row r="1857" spans="1:12">
      <c r="A1857" s="5" t="n">
        <v>43163</v>
      </c>
      <c r="B1857" t="s">
        <v>450</v>
      </c>
      <c r="C1857" t="s">
        <v>451</v>
      </c>
      <c r="D1857" t="s">
        <v>245</v>
      </c>
      <c r="E1857" t="s">
        <v>15</v>
      </c>
      <c r="F1857" t="s">
        <v>52</v>
      </c>
      <c r="G1857" t="s">
        <v>776</v>
      </c>
      <c r="H1857">
        <f>HYPERLINK("https://www.jouwictvacature.nl/solliciteren?job=medior-java-developer-bij-sofico-bij-sofico", "Link")</f>
        <v/>
      </c>
      <c r="I1857" t="s">
        <v>17</v>
      </c>
      <c r="J1857" t="s">
        <v>18</v>
      </c>
      <c r="K1857" t="s">
        <v>777</v>
      </c>
      <c r="L1857" t="s">
        <v>778</v>
      </c>
    </row>
    <row r="1858" spans="1:12">
      <c r="A1858" s="5" t="n">
        <v>43163</v>
      </c>
      <c r="B1858" t="s">
        <v>115</v>
      </c>
      <c r="C1858" t="s">
        <v>62</v>
      </c>
      <c r="D1858" t="s">
        <v>22</v>
      </c>
      <c r="E1858" t="s">
        <v>15</v>
      </c>
      <c r="F1858" t="s">
        <v>52</v>
      </c>
      <c r="G1858" t="s">
        <v>2123</v>
      </c>
      <c r="H1858">
        <f>HYPERLINK("https://www.jouwictvacature.nl/solliciteren?job=medior-java--vbnet-developer-bij-bottomline-bij-bottomline", "Link")</f>
        <v/>
      </c>
      <c r="I1858" t="s">
        <v>17</v>
      </c>
      <c r="J1858" t="s">
        <v>18</v>
      </c>
      <c r="K1858" t="s">
        <v>1064</v>
      </c>
      <c r="L1858" t="s">
        <v>2124</v>
      </c>
    </row>
    <row r="1859" spans="1:12">
      <c r="A1859" s="5" t="n">
        <v>43163</v>
      </c>
      <c r="B1859" t="s">
        <v>771</v>
      </c>
      <c r="C1859" t="s">
        <v>137</v>
      </c>
      <c r="D1859" t="s">
        <v>22</v>
      </c>
      <c r="E1859" t="s">
        <v>15</v>
      </c>
      <c r="F1859" t="s">
        <v>16</v>
      </c>
      <c r="G1859" t="s">
        <v>771</v>
      </c>
      <c r="H1859">
        <f>HYPERLINK("https://www.jouwictvacature.nl/solliciteren?job=software-developer-bij-bgenius-2", "Link")</f>
        <v/>
      </c>
      <c r="I1859" t="s">
        <v>17</v>
      </c>
      <c r="J1859" t="s">
        <v>18</v>
      </c>
      <c r="K1859" t="s">
        <v>772</v>
      </c>
      <c r="L1859" t="s">
        <v>2311</v>
      </c>
    </row>
    <row r="1860" spans="1:12">
      <c r="A1860" s="5" t="n">
        <v>43163</v>
      </c>
      <c r="B1860" t="s">
        <v>115</v>
      </c>
      <c r="C1860" t="s">
        <v>116</v>
      </c>
      <c r="D1860" t="s">
        <v>22</v>
      </c>
      <c r="E1860" t="s">
        <v>15</v>
      </c>
      <c r="F1860" t="s">
        <v>16</v>
      </c>
      <c r="G1860" t="s">
        <v>117</v>
      </c>
      <c r="H1860">
        <f>HYPERLINK("https://www.jouwictvacature.nl/solliciteren?job=support-medewerker-bij-bottomline-in-vught-bij-bottomline", "Link")</f>
        <v/>
      </c>
      <c r="I1860" t="s">
        <v>17</v>
      </c>
      <c r="J1860" t="s">
        <v>18</v>
      </c>
      <c r="K1860" t="s">
        <v>118</v>
      </c>
      <c r="L1860" t="s">
        <v>119</v>
      </c>
    </row>
    <row r="1861" spans="1:12">
      <c r="A1861" s="5" t="n">
        <v>43163</v>
      </c>
      <c r="B1861" t="s">
        <v>174</v>
      </c>
      <c r="C1861" t="s">
        <v>93</v>
      </c>
      <c r="D1861" t="s">
        <v>22</v>
      </c>
      <c r="E1861" t="s">
        <v>15</v>
      </c>
      <c r="F1861" t="s">
        <v>28</v>
      </c>
      <c r="G1861" t="s">
        <v>194</v>
      </c>
      <c r="H1861">
        <f>HYPERLINK("https://www.jouwictvacature.nl/solliciteren?job=senior-java-full-stack-developer--ios-phonegap-objective-c-swift-bij-d-4", "Link")</f>
        <v/>
      </c>
      <c r="I1861" t="s">
        <v>17</v>
      </c>
      <c r="J1861" t="s">
        <v>18</v>
      </c>
      <c r="K1861" t="s">
        <v>176</v>
      </c>
      <c r="L1861" t="s">
        <v>195</v>
      </c>
    </row>
    <row r="1862" spans="1:12">
      <c r="A1862" s="5" t="n">
        <v>43163</v>
      </c>
      <c r="B1862" t="s">
        <v>678</v>
      </c>
      <c r="C1862" t="s">
        <v>679</v>
      </c>
      <c r="D1862" t="s">
        <v>22</v>
      </c>
      <c r="E1862" t="s">
        <v>15</v>
      </c>
      <c r="F1862" t="s">
        <v>34</v>
      </c>
      <c r="G1862" t="s">
        <v>1322</v>
      </c>
      <c r="H1862">
        <f>HYPERLINK("https://www.jouwictvacature.nl/solliciteren?job=junior-java-developer-3", "Link")</f>
        <v/>
      </c>
      <c r="I1862" t="s">
        <v>17</v>
      </c>
      <c r="J1862" t="s">
        <v>18</v>
      </c>
      <c r="K1862" t="s">
        <v>1822</v>
      </c>
      <c r="L1862" t="s">
        <v>1823</v>
      </c>
    </row>
    <row r="1863" spans="1:12">
      <c r="A1863" s="5" t="n">
        <v>43163</v>
      </c>
      <c r="B1863" t="s">
        <v>174</v>
      </c>
      <c r="C1863" t="s">
        <v>93</v>
      </c>
      <c r="D1863" t="s">
        <v>22</v>
      </c>
      <c r="E1863" t="s">
        <v>15</v>
      </c>
      <c r="F1863" t="s">
        <v>52</v>
      </c>
      <c r="G1863" t="s">
        <v>774</v>
      </c>
      <c r="H1863">
        <f>HYPERLINK("https://www.jouwictvacature.nl/solliciteren?job=medior-java-full-stack-developer--ios-phonegap-objective-c-swift-bij-d-4", "Link")</f>
        <v/>
      </c>
      <c r="I1863" t="s">
        <v>17</v>
      </c>
      <c r="J1863" t="s">
        <v>18</v>
      </c>
      <c r="K1863" t="s">
        <v>176</v>
      </c>
      <c r="L1863" t="s">
        <v>2312</v>
      </c>
    </row>
    <row r="1864" spans="1:12">
      <c r="A1864" s="5" t="n">
        <v>43163</v>
      </c>
      <c r="B1864" t="s">
        <v>2313</v>
      </c>
      <c r="C1864" t="s">
        <v>522</v>
      </c>
      <c r="D1864" t="s">
        <v>245</v>
      </c>
      <c r="E1864" t="s">
        <v>15</v>
      </c>
      <c r="F1864" t="s">
        <v>16</v>
      </c>
      <c r="G1864" t="s">
        <v>2313</v>
      </c>
      <c r="H1864">
        <f>HYPERLINK("https://www.jouwictvacature.nl/solliciteren?job=medior-java-developer-bij-qenner-in-enschede", "Link")</f>
        <v/>
      </c>
      <c r="I1864" t="s">
        <v>17</v>
      </c>
      <c r="J1864" t="s">
        <v>18</v>
      </c>
      <c r="K1864" t="s">
        <v>2314</v>
      </c>
      <c r="L1864" t="s">
        <v>2315</v>
      </c>
    </row>
    <row r="1865" spans="1:12">
      <c r="A1865" s="5" t="n">
        <v>43163</v>
      </c>
      <c r="B1865" t="s">
        <v>109</v>
      </c>
      <c r="C1865" t="s">
        <v>112</v>
      </c>
      <c r="D1865" t="s">
        <v>22</v>
      </c>
      <c r="E1865" t="s">
        <v>15</v>
      </c>
      <c r="F1865" t="s">
        <v>16</v>
      </c>
      <c r="G1865" t="s">
        <v>109</v>
      </c>
      <c r="H1865">
        <f>HYPERLINK("https://www.jouwictvacature.nl/solliciteren?job=senior-net-developer-bij-bloemert-groep", "Link")</f>
        <v/>
      </c>
      <c r="I1865" t="s">
        <v>17</v>
      </c>
      <c r="J1865" t="s">
        <v>18</v>
      </c>
      <c r="K1865" t="s">
        <v>990</v>
      </c>
      <c r="L1865" t="s">
        <v>991</v>
      </c>
    </row>
    <row r="1866" spans="1:12">
      <c r="A1866" s="5" t="n">
        <v>43163</v>
      </c>
      <c r="B1866" t="s">
        <v>2000</v>
      </c>
      <c r="C1866" t="s">
        <v>45</v>
      </c>
      <c r="D1866" t="s">
        <v>245</v>
      </c>
      <c r="E1866" t="s">
        <v>15</v>
      </c>
      <c r="F1866" t="s">
        <v>16</v>
      </c>
      <c r="G1866" t="s">
        <v>1123</v>
      </c>
      <c r="H1866">
        <f>HYPERLINK("https://www.jouwictvacature.nl/solliciteren?job=senior-net-engineer-bij-sogeti-4", "Link")</f>
        <v/>
      </c>
      <c r="I1866" t="s">
        <v>17</v>
      </c>
      <c r="J1866" t="s">
        <v>18</v>
      </c>
      <c r="K1866" t="s">
        <v>466</v>
      </c>
      <c r="L1866" t="s">
        <v>1124</v>
      </c>
    </row>
    <row r="1867" spans="1:12">
      <c r="A1867" s="5" t="n">
        <v>43163</v>
      </c>
      <c r="B1867" t="s">
        <v>382</v>
      </c>
      <c r="C1867" t="s">
        <v>274</v>
      </c>
      <c r="D1867" t="s">
        <v>14</v>
      </c>
      <c r="E1867" t="s">
        <v>51</v>
      </c>
      <c r="F1867" t="s">
        <v>34</v>
      </c>
      <c r="G1867" t="s">
        <v>1179</v>
      </c>
      <c r="H1867">
        <f>HYPERLINK("https://www.jouwictvacature.nl/solliciteren?job=junior-software-engineer--3", "Link")</f>
        <v/>
      </c>
      <c r="I1867" t="s">
        <v>17</v>
      </c>
      <c r="J1867" t="s">
        <v>18</v>
      </c>
      <c r="K1867" t="s">
        <v>1180</v>
      </c>
      <c r="L1867" t="s">
        <v>1181</v>
      </c>
    </row>
    <row r="1868" spans="1:12">
      <c r="A1868" s="5" t="n">
        <v>43163</v>
      </c>
      <c r="B1868" t="s">
        <v>313</v>
      </c>
      <c r="C1868" t="s">
        <v>62</v>
      </c>
      <c r="D1868" t="s">
        <v>14</v>
      </c>
      <c r="E1868" t="s">
        <v>15</v>
      </c>
      <c r="F1868" t="s">
        <v>16</v>
      </c>
      <c r="G1868" t="s">
        <v>2316</v>
      </c>
      <c r="H1868">
        <f>HYPERLINK("https://www.jouwictvacature.nl/solliciteren?job=c-net-mvc-developer-met-2-3-jaar-ervaring", "Link")</f>
        <v/>
      </c>
      <c r="I1868" t="s">
        <v>17</v>
      </c>
      <c r="J1868" t="s">
        <v>18</v>
      </c>
      <c r="K1868" t="s">
        <v>2317</v>
      </c>
      <c r="L1868" t="s">
        <v>2318</v>
      </c>
    </row>
    <row r="1869" spans="1:12">
      <c r="A1869" s="5" t="n">
        <v>43163</v>
      </c>
      <c r="B1869" t="s">
        <v>2294</v>
      </c>
      <c r="C1869" t="s">
        <v>219</v>
      </c>
      <c r="D1869" t="s">
        <v>22</v>
      </c>
      <c r="E1869" t="s">
        <v>15</v>
      </c>
      <c r="F1869" t="s">
        <v>52</v>
      </c>
      <c r="G1869" t="s">
        <v>2319</v>
      </c>
      <c r="H1869">
        <f>HYPERLINK("https://www.jouwictvacature.nl/solliciteren?job=medior-c-net-developer-bij-de-solipsisgroep-te-schiphol-rijk", "Link")</f>
        <v/>
      </c>
      <c r="I1869" t="s">
        <v>17</v>
      </c>
      <c r="J1869" t="s">
        <v>18</v>
      </c>
      <c r="K1869" t="s">
        <v>2320</v>
      </c>
      <c r="L1869" t="s">
        <v>2321</v>
      </c>
    </row>
    <row r="1870" spans="1:12">
      <c r="A1870" s="5" t="n">
        <v>43163</v>
      </c>
      <c r="B1870" t="s">
        <v>2214</v>
      </c>
      <c r="C1870" t="s">
        <v>2215</v>
      </c>
      <c r="D1870" t="s">
        <v>14</v>
      </c>
      <c r="E1870" t="s">
        <v>51</v>
      </c>
      <c r="F1870" t="s">
        <v>16</v>
      </c>
      <c r="G1870" t="s">
        <v>2216</v>
      </c>
      <c r="H1870">
        <f>HYPERLINK("https://www.jouwictvacature.nl/solliciteren?job=cc-ontwikkelaar-met-affiniteit-voor-luchtvaart", "Link")</f>
        <v/>
      </c>
      <c r="I1870" t="s">
        <v>17</v>
      </c>
      <c r="J1870" t="s">
        <v>18</v>
      </c>
      <c r="K1870" t="s">
        <v>2322</v>
      </c>
      <c r="L1870" t="s">
        <v>2218</v>
      </c>
    </row>
    <row r="1871" spans="1:12">
      <c r="A1871" s="5" t="n">
        <v>43163</v>
      </c>
      <c r="B1871" t="s">
        <v>308</v>
      </c>
      <c r="C1871" t="s">
        <v>309</v>
      </c>
      <c r="D1871" t="s">
        <v>14</v>
      </c>
      <c r="E1871" t="s">
        <v>15</v>
      </c>
      <c r="F1871" t="s">
        <v>16</v>
      </c>
      <c r="G1871" t="s">
        <v>937</v>
      </c>
      <c r="H1871">
        <f>HYPERLINK("https://www.jouwictvacature.nl/solliciteren?job=operator-bij-marketgraph-voor-in-de-mediabranche", "Link")</f>
        <v/>
      </c>
      <c r="I1871" t="s">
        <v>17</v>
      </c>
      <c r="J1871" t="s">
        <v>18</v>
      </c>
      <c r="K1871" t="s">
        <v>2323</v>
      </c>
      <c r="L1871" t="s">
        <v>938</v>
      </c>
    </row>
    <row r="1872" spans="1:12">
      <c r="A1872" s="5" t="n">
        <v>43163</v>
      </c>
      <c r="B1872" t="s">
        <v>313</v>
      </c>
      <c r="C1872" t="s">
        <v>62</v>
      </c>
      <c r="D1872" t="s">
        <v>14</v>
      </c>
      <c r="E1872" t="s">
        <v>15</v>
      </c>
      <c r="F1872" t="s">
        <v>28</v>
      </c>
      <c r="G1872" t="s">
        <v>2324</v>
      </c>
      <c r="H1872">
        <f>HYPERLINK("https://www.jouwictvacature.nl/solliciteren?job=senior-net-developer-bij-marketing-makers", "Link")</f>
        <v/>
      </c>
      <c r="I1872" t="s">
        <v>17</v>
      </c>
      <c r="J1872" t="s">
        <v>18</v>
      </c>
      <c r="K1872" t="s">
        <v>2317</v>
      </c>
      <c r="L1872" t="s">
        <v>2325</v>
      </c>
    </row>
    <row r="1873" spans="1:12">
      <c r="A1873" s="5" t="n">
        <v>43163</v>
      </c>
      <c r="B1873" t="s">
        <v>1970</v>
      </c>
      <c r="C1873" t="s">
        <v>157</v>
      </c>
      <c r="D1873" t="s">
        <v>22</v>
      </c>
      <c r="E1873" t="s">
        <v>15</v>
      </c>
      <c r="F1873" t="s">
        <v>16</v>
      </c>
      <c r="G1873" t="s">
        <v>1971</v>
      </c>
      <c r="H1873">
        <f>HYPERLINK("https://www.jouwictvacature.nl/solliciteren?job=airport-net-c-web-developer-met-een-passie-voor-software-architectuur", "Link")</f>
        <v/>
      </c>
      <c r="I1873" t="s">
        <v>17</v>
      </c>
      <c r="J1873" t="s">
        <v>18</v>
      </c>
      <c r="K1873" t="s">
        <v>2326</v>
      </c>
      <c r="L1873" t="s">
        <v>1973</v>
      </c>
    </row>
    <row r="1874" spans="1:12">
      <c r="A1874" s="5" t="n">
        <v>43163</v>
      </c>
      <c r="B1874" t="s">
        <v>2089</v>
      </c>
      <c r="C1874" t="s">
        <v>309</v>
      </c>
      <c r="D1874" t="s">
        <v>14</v>
      </c>
      <c r="E1874" t="s">
        <v>15</v>
      </c>
      <c r="F1874" t="s">
        <v>16</v>
      </c>
      <c r="G1874" t="s">
        <v>2327</v>
      </c>
      <c r="H1874">
        <f>HYPERLINK("https://www.jouwictvacature.nl/solliciteren?job=ervaren-net-developer-bij-minescape-met-affiniteit-voor-cms", "Link")</f>
        <v/>
      </c>
      <c r="I1874" t="s">
        <v>17</v>
      </c>
      <c r="J1874" t="s">
        <v>18</v>
      </c>
      <c r="K1874" t="s">
        <v>2091</v>
      </c>
      <c r="L1874" t="s">
        <v>2328</v>
      </c>
    </row>
    <row r="1875" spans="1:12">
      <c r="A1875" s="5" t="n">
        <v>43163</v>
      </c>
      <c r="B1875" t="s">
        <v>568</v>
      </c>
      <c r="C1875" t="s">
        <v>157</v>
      </c>
      <c r="D1875" t="s">
        <v>245</v>
      </c>
      <c r="E1875" t="s">
        <v>15</v>
      </c>
      <c r="F1875" t="s">
        <v>16</v>
      </c>
      <c r="G1875" t="s">
        <v>569</v>
      </c>
      <c r="H1875">
        <f>HYPERLINK("https://www.jouwictvacature.nl/solliciteren?job=ervaren-senior-wordpress-developer-gezocht-bij-web-whales", "Link")</f>
        <v/>
      </c>
      <c r="I1875" t="s">
        <v>17</v>
      </c>
      <c r="J1875" t="s">
        <v>18</v>
      </c>
      <c r="K1875" t="s">
        <v>570</v>
      </c>
      <c r="L1875" t="s">
        <v>571</v>
      </c>
    </row>
  </sheetData>
  <autoFilter ref="A1:M1854">
    <filterColumn colId="4">
      <filters>
        <filter val="EN"/>
      </filters>
    </filterColumn>
    <sortState ref="A2:M170">
      <sortCondition dxfId="1" ref="L1:L111" sortBy="cellColor"/>
    </sortState>
  </autoFilter>
  <conditionalFormatting sqref="L1:L1048576">
    <cfRule dxfId="0" priority="1" type="duplicateValues"/>
  </conditionalFormatting>
  <pageMargins bottom="0.75" footer="0.3" header="0.3" left="0.7" right="0.7" top="0.75"/>
  <pageSetup orientation="portrait" paperSize="9"/>
</worksheet>
</file>

<file path=xl/worksheets/sheet2.xml><?xml version="1.0" encoding="utf-8"?>
<worksheet xmlns="http://schemas.openxmlformats.org/spreadsheetml/2006/main">
  <sheetPr codeName="Blad2">
    <outlinePr summaryBelow="1" summaryRight="1"/>
    <pageSetUpPr/>
  </sheetPr>
  <dimension ref="A1:A1"/>
  <sheetViews>
    <sheetView workbookViewId="0">
      <selection activeCell="A3" sqref="A3"/>
    </sheetView>
  </sheetViews>
  <sheetFormatPr baseColWidth="8" defaultRowHeight="14.25"/>
  <sheetData/>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Renier</dc:creator>
  <dcterms:created xmlns:dcterms="http://purl.org/dc/terms/" xmlns:xsi="http://www.w3.org/2001/XMLSchema-instance" xsi:type="dcterms:W3CDTF">2015-06-05T18:19:34Z</dcterms:created>
  <dcterms:modified xmlns:dcterms="http://purl.org/dc/terms/" xmlns:xsi="http://www.w3.org/2001/XMLSchema-instance" xsi:type="dcterms:W3CDTF">2018-03-04T10:29:25Z</dcterms:modified>
  <cp:lastModifiedBy>Renier</cp:lastModifiedBy>
</cp:coreProperties>
</file>